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recharte/Documents/Tese/code/libraryCRDTs/"/>
    </mc:Choice>
  </mc:AlternateContent>
  <xr:revisionPtr revIDLastSave="0" documentId="13_ncr:1_{41BC471E-F5A8-8C46-9FF3-8AF2A764536E}" xr6:coauthVersionLast="47" xr6:coauthVersionMax="47" xr10:uidLastSave="{00000000-0000-0000-0000-000000000000}"/>
  <bookViews>
    <workbookView xWindow="0" yWindow="720" windowWidth="29400" windowHeight="18400" xr2:uid="{96CE5EDD-0698-D046-A3B3-759BE4354C83}"/>
  </bookViews>
  <sheets>
    <sheet name="Sheet1" sheetId="1" r:id="rId1"/>
  </sheets>
  <definedNames>
    <definedName name="_xlchart.v1.0" hidden="1">Sheet1!$A$61:$A$64</definedName>
    <definedName name="_xlchart.v1.1" hidden="1">Sheet1!$B$60</definedName>
    <definedName name="_xlchart.v1.10" hidden="1">Sheet1!$C$60</definedName>
    <definedName name="_xlchart.v1.11" hidden="1">Sheet1!$C$61:$C$64</definedName>
    <definedName name="_xlchart.v1.12" hidden="1">Sheet1!$D$60</definedName>
    <definedName name="_xlchart.v1.13" hidden="1">Sheet1!$D$61:$D$64</definedName>
    <definedName name="_xlchart.v1.14" hidden="1">Sheet1!$A$61:$A$64</definedName>
    <definedName name="_xlchart.v1.15" hidden="1">Sheet1!$B$60</definedName>
    <definedName name="_xlchart.v1.16" hidden="1">Sheet1!$B$61:$B$64</definedName>
    <definedName name="_xlchart.v1.17" hidden="1">Sheet1!$C$60</definedName>
    <definedName name="_xlchart.v1.18" hidden="1">Sheet1!$C$61:$C$64</definedName>
    <definedName name="_xlchart.v1.19" hidden="1">Sheet1!$D$60</definedName>
    <definedName name="_xlchart.v1.2" hidden="1">Sheet1!$B$61:$B$64</definedName>
    <definedName name="_xlchart.v1.20" hidden="1">Sheet1!$D$61:$D$64</definedName>
    <definedName name="_xlchart.v1.21" hidden="1">Sheet1!$A$61:$A$64</definedName>
    <definedName name="_xlchart.v1.22" hidden="1">Sheet1!$B$60</definedName>
    <definedName name="_xlchart.v1.23" hidden="1">Sheet1!$B$61:$B$64</definedName>
    <definedName name="_xlchart.v1.24" hidden="1">Sheet1!$C$60</definedName>
    <definedName name="_xlchart.v1.25" hidden="1">Sheet1!$C$61:$C$64</definedName>
    <definedName name="_xlchart.v1.26" hidden="1">Sheet1!$D$60</definedName>
    <definedName name="_xlchart.v1.27" hidden="1">Sheet1!$D$61:$D$64</definedName>
    <definedName name="_xlchart.v1.28" hidden="1">Sheet1!$A$61:$A$64</definedName>
    <definedName name="_xlchart.v1.29" hidden="1">Sheet1!$B$60</definedName>
    <definedName name="_xlchart.v1.3" hidden="1">Sheet1!$C$60</definedName>
    <definedName name="_xlchart.v1.30" hidden="1">Sheet1!$B$61:$B$64</definedName>
    <definedName name="_xlchart.v1.31" hidden="1">Sheet1!$C$60</definedName>
    <definedName name="_xlchart.v1.32" hidden="1">Sheet1!$C$61:$C$64</definedName>
    <definedName name="_xlchart.v1.33" hidden="1">Sheet1!$D$60</definedName>
    <definedName name="_xlchart.v1.34" hidden="1">Sheet1!$D$61:$D$64</definedName>
    <definedName name="_xlchart.v1.35" hidden="1">Sheet1!$A$61:$A$64</definedName>
    <definedName name="_xlchart.v1.36" hidden="1">Sheet1!$B$60</definedName>
    <definedName name="_xlchart.v1.37" hidden="1">Sheet1!$B$61:$B$64</definedName>
    <definedName name="_xlchart.v1.38" hidden="1">Sheet1!$C$60</definedName>
    <definedName name="_xlchart.v1.39" hidden="1">Sheet1!$C$61:$C$64</definedName>
    <definedName name="_xlchart.v1.4" hidden="1">Sheet1!$C$61:$C$64</definedName>
    <definedName name="_xlchart.v1.40" hidden="1">Sheet1!$D$60</definedName>
    <definedName name="_xlchart.v1.41" hidden="1">Sheet1!$D$61:$D$64</definedName>
    <definedName name="_xlchart.v1.42" hidden="1">Sheet1!$A$61:$A$64</definedName>
    <definedName name="_xlchart.v1.43" hidden="1">Sheet1!$B$60</definedName>
    <definedName name="_xlchart.v1.44" hidden="1">Sheet1!$B$61:$B$64</definedName>
    <definedName name="_xlchart.v1.45" hidden="1">Sheet1!$C$60</definedName>
    <definedName name="_xlchart.v1.46" hidden="1">Sheet1!$C$61:$C$64</definedName>
    <definedName name="_xlchart.v1.47" hidden="1">Sheet1!$D$60</definedName>
    <definedName name="_xlchart.v1.48" hidden="1">Sheet1!$D$61:$D$64</definedName>
    <definedName name="_xlchart.v1.49" hidden="1">Sheet1!$A$61:$A$64</definedName>
    <definedName name="_xlchart.v1.5" hidden="1">Sheet1!$D$60</definedName>
    <definedName name="_xlchart.v1.50" hidden="1">Sheet1!$B$60</definedName>
    <definedName name="_xlchart.v1.51" hidden="1">Sheet1!$B$61:$B$64</definedName>
    <definedName name="_xlchart.v1.52" hidden="1">Sheet1!$C$60</definedName>
    <definedName name="_xlchart.v1.53" hidden="1">Sheet1!$C$61:$C$64</definedName>
    <definedName name="_xlchart.v1.54" hidden="1">Sheet1!$D$60</definedName>
    <definedName name="_xlchart.v1.55" hidden="1">Sheet1!$D$61:$D$64</definedName>
    <definedName name="_xlchart.v1.6" hidden="1">Sheet1!$D$61:$D$64</definedName>
    <definedName name="_xlchart.v1.7" hidden="1">Sheet1!$A$61:$A$64</definedName>
    <definedName name="_xlchart.v1.8" hidden="1">Sheet1!$B$60</definedName>
    <definedName name="_xlchart.v1.9" hidden="1">Sheet1!$B$61:$B$64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32" i="1"/>
  <c r="D131" i="1"/>
  <c r="D130" i="1"/>
  <c r="C133" i="1"/>
  <c r="C132" i="1"/>
  <c r="C131" i="1"/>
  <c r="C130" i="1"/>
  <c r="D158" i="1"/>
  <c r="D157" i="1"/>
  <c r="D156" i="1"/>
  <c r="D155" i="1"/>
  <c r="C158" i="1"/>
  <c r="C157" i="1"/>
  <c r="C156" i="1"/>
  <c r="C155" i="1"/>
  <c r="B158" i="1"/>
  <c r="B157" i="1"/>
  <c r="B156" i="1"/>
  <c r="B155" i="1"/>
  <c r="D152" i="1"/>
  <c r="D151" i="1"/>
  <c r="D150" i="1"/>
  <c r="D149" i="1"/>
  <c r="C152" i="1"/>
  <c r="C151" i="1"/>
  <c r="C150" i="1"/>
  <c r="C149" i="1"/>
  <c r="B152" i="1"/>
  <c r="B151" i="1"/>
  <c r="B150" i="1"/>
  <c r="B149" i="1"/>
  <c r="K113" i="1"/>
  <c r="D102" i="1"/>
  <c r="K116" i="1"/>
  <c r="I116" i="1"/>
  <c r="K115" i="1"/>
  <c r="I115" i="1"/>
  <c r="K114" i="1"/>
  <c r="I114" i="1"/>
  <c r="I113" i="1"/>
  <c r="D105" i="1"/>
  <c r="D104" i="1"/>
  <c r="D103" i="1"/>
  <c r="B105" i="1"/>
  <c r="B104" i="1"/>
  <c r="B103" i="1"/>
  <c r="B102" i="1"/>
  <c r="D99" i="1"/>
  <c r="B99" i="1"/>
  <c r="D98" i="1"/>
  <c r="B98" i="1"/>
  <c r="D96" i="1"/>
  <c r="B97" i="1"/>
  <c r="B96" i="1"/>
  <c r="B57" i="1"/>
  <c r="G57" i="1"/>
  <c r="L57" i="1"/>
  <c r="L50" i="1"/>
  <c r="G50" i="1"/>
  <c r="B50" i="1"/>
  <c r="L43" i="1"/>
  <c r="G43" i="1"/>
  <c r="B43" i="1"/>
  <c r="L36" i="1"/>
  <c r="G36" i="1"/>
  <c r="B36" i="1"/>
  <c r="B37" i="1"/>
  <c r="L58" i="1"/>
  <c r="G58" i="1"/>
  <c r="B58" i="1"/>
  <c r="L51" i="1"/>
  <c r="G51" i="1"/>
  <c r="B51" i="1"/>
  <c r="L44" i="1"/>
  <c r="G44" i="1"/>
  <c r="B44" i="1"/>
  <c r="L37" i="1"/>
  <c r="G37" i="1"/>
  <c r="B116" i="1"/>
  <c r="C113" i="1"/>
  <c r="C115" i="1"/>
  <c r="D115" i="1"/>
  <c r="C114" i="1"/>
  <c r="B120" i="1"/>
  <c r="B87" i="1"/>
  <c r="D113" i="1"/>
  <c r="B119" i="1"/>
  <c r="C121" i="1"/>
  <c r="D121" i="1"/>
  <c r="C119" i="1"/>
  <c r="C120" i="1"/>
  <c r="C122" i="1"/>
  <c r="B122" i="1"/>
  <c r="D120" i="1"/>
  <c r="B81" i="1"/>
  <c r="C87" i="1"/>
  <c r="C81" i="1"/>
  <c r="D116" i="1"/>
  <c r="B114" i="1"/>
  <c r="B115" i="1"/>
  <c r="C116" i="1"/>
  <c r="D114" i="1"/>
  <c r="D119" i="1"/>
  <c r="D81" i="1"/>
  <c r="D87" i="1"/>
  <c r="B121" i="1"/>
  <c r="D122" i="1"/>
</calcChain>
</file>

<file path=xl/sharedStrings.xml><?xml version="1.0" encoding="utf-8"?>
<sst xmlns="http://schemas.openxmlformats.org/spreadsheetml/2006/main" count="207" uniqueCount="30">
  <si>
    <t>Add-wins base</t>
  </si>
  <si>
    <t>effect</t>
  </si>
  <si>
    <t>stabilize</t>
  </si>
  <si>
    <t>replica</t>
  </si>
  <si>
    <t>cpu time(s)</t>
  </si>
  <si>
    <t>mem usage(kB)</t>
  </si>
  <si>
    <t>Add-wins ECRO</t>
  </si>
  <si>
    <t>Add-wins Semidirect</t>
  </si>
  <si>
    <t>RGA base</t>
  </si>
  <si>
    <t>RGA ECRO</t>
  </si>
  <si>
    <t>RGA SemidirectECRO</t>
  </si>
  <si>
    <t>500 ops</t>
  </si>
  <si>
    <t>1000 ops</t>
  </si>
  <si>
    <t>1500 ops</t>
  </si>
  <si>
    <t>2000 ops</t>
  </si>
  <si>
    <t>Classic</t>
  </si>
  <si>
    <t>ECRO</t>
  </si>
  <si>
    <t>SemiECRO</t>
  </si>
  <si>
    <t>cpu time (ms)</t>
  </si>
  <si>
    <t>mem usage</t>
  </si>
  <si>
    <t>Classic-mem</t>
  </si>
  <si>
    <t>ECRO-mem</t>
  </si>
  <si>
    <t>SemiECRO-mem</t>
  </si>
  <si>
    <t>5 replicas</t>
  </si>
  <si>
    <t>2 replicas</t>
  </si>
  <si>
    <t>50 replicas</t>
  </si>
  <si>
    <t>1 replica</t>
  </si>
  <si>
    <t xml:space="preserve"> </t>
  </si>
  <si>
    <t>5 reps</t>
  </si>
  <si>
    <t>50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</si>
</sst>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31499250852759E-2"/>
          <c:y val="7.2268903030956747E-2"/>
          <c:w val="0.79639516720328984"/>
          <c:h val="0.70946338043361024"/>
        </c:manualLayout>
      </c:layout>
      <c:lineChart>
        <c:grouping val="standard"/>
        <c:varyColors val="0"/>
        <c:ser>
          <c:idx val="0"/>
          <c:order val="3"/>
          <c:tx>
            <c:strRef>
              <c:f>Sheet1!$B$60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Sheet1!$A$61:$A$64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0.04</c:v>
                </c:pt>
                <c:pt idx="2">
                  <c:v>0.43333333333333335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7-6141-8DD3-617429D283BF}"/>
            </c:ext>
          </c:extLst>
        </c:ser>
        <c:ser>
          <c:idx val="1"/>
          <c:order val="4"/>
          <c:tx>
            <c:strRef>
              <c:f>Sheet1!$C$60</c:f>
              <c:strCache>
                <c:ptCount val="1"/>
                <c:pt idx="0">
                  <c:v>ECRO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Sheet1!$A$61:$A$64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Sheet1!$C$61:$C$64</c:f>
              <c:numCache>
                <c:formatCode>General</c:formatCode>
                <c:ptCount val="4"/>
                <c:pt idx="0">
                  <c:v>2.38</c:v>
                </c:pt>
                <c:pt idx="1">
                  <c:v>37.1</c:v>
                </c:pt>
                <c:pt idx="2">
                  <c:v>54.846666666666998</c:v>
                </c:pt>
                <c:pt idx="3">
                  <c:v>112.745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7-6141-8DD3-617429D283BF}"/>
            </c:ext>
          </c:extLst>
        </c:ser>
        <c:ser>
          <c:idx val="2"/>
          <c:order val="5"/>
          <c:tx>
            <c:strRef>
              <c:f>Sheet1!$D$60</c:f>
              <c:strCache>
                <c:ptCount val="1"/>
                <c:pt idx="0">
                  <c:v>SemiECRO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Sheet1!$A$61:$A$64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Sheet1!$D$61:$D$64</c:f>
              <c:numCache>
                <c:formatCode>General</c:formatCode>
                <c:ptCount val="4"/>
                <c:pt idx="0">
                  <c:v>0.84</c:v>
                </c:pt>
                <c:pt idx="1">
                  <c:v>5.86</c:v>
                </c:pt>
                <c:pt idx="2">
                  <c:v>7.7666666666666666</c:v>
                </c:pt>
                <c:pt idx="3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67-6141-8DD3-617429D2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399888"/>
        <c:axId val="1884250528"/>
      </c:lineChart>
      <c:lineChart>
        <c:grouping val="standard"/>
        <c:varyColors val="0"/>
        <c:ser>
          <c:idx val="3"/>
          <c:order val="0"/>
          <c:tx>
            <c:strRef>
              <c:f>Sheet1!$B$66</c:f>
              <c:strCache>
                <c:ptCount val="1"/>
                <c:pt idx="0">
                  <c:v>Classic-mem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</c:marker>
          <c:val>
            <c:numRef>
              <c:f>Sheet1!$B$67:$B$70</c:f>
              <c:numCache>
                <c:formatCode>General</c:formatCode>
                <c:ptCount val="4"/>
                <c:pt idx="0">
                  <c:v>24.88</c:v>
                </c:pt>
                <c:pt idx="1">
                  <c:v>17.87</c:v>
                </c:pt>
                <c:pt idx="2">
                  <c:v>27.271486666666668</c:v>
                </c:pt>
                <c:pt idx="3">
                  <c:v>35.229385000000001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67-6141-8DD3-617429D283BF}"/>
            </c:ext>
          </c:extLst>
        </c:ser>
        <c:ser>
          <c:idx val="4"/>
          <c:order val="1"/>
          <c:tx>
            <c:strRef>
              <c:f>Sheet1!$C$66</c:f>
              <c:strCache>
                <c:ptCount val="1"/>
                <c:pt idx="0">
                  <c:v>ECRO-mem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pPr>
              <a:solidFill>
                <a:schemeClr val="accent2"/>
              </a:solidFill>
              <a:ln>
                <a:noFill/>
                <a:prstDash val="dash"/>
              </a:ln>
            </c:spPr>
          </c:marker>
          <c:dPt>
            <c:idx val="2"/>
            <c:bubble3D val="0"/>
            <c:spPr>
              <a:ln cap="sq"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C-0767-6141-8DD3-617429D283BF}"/>
              </c:ext>
            </c:extLst>
          </c:dPt>
          <c:val>
            <c:numRef>
              <c:f>Sheet1!$C$67:$C$70</c:f>
              <c:numCache>
                <c:formatCode>General</c:formatCode>
                <c:ptCount val="4"/>
                <c:pt idx="0">
                  <c:v>563.38523999999995</c:v>
                </c:pt>
                <c:pt idx="1">
                  <c:v>1729.69994</c:v>
                </c:pt>
                <c:pt idx="2">
                  <c:v>2334.2251666666998</c:v>
                </c:pt>
                <c:pt idx="3">
                  <c:v>3748.7520599999998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67-6141-8DD3-617429D283BF}"/>
            </c:ext>
          </c:extLst>
        </c:ser>
        <c:ser>
          <c:idx val="5"/>
          <c:order val="2"/>
          <c:tx>
            <c:strRef>
              <c:f>Sheet1!$D$66</c:f>
              <c:strCache>
                <c:ptCount val="1"/>
                <c:pt idx="0">
                  <c:v>SemiECRO-mem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  <a:prstDash val="dash"/>
              </a:ln>
            </c:spPr>
          </c:marker>
          <c:val>
            <c:numRef>
              <c:f>Sheet1!$D$67:$D$70</c:f>
              <c:numCache>
                <c:formatCode>General</c:formatCode>
                <c:ptCount val="4"/>
                <c:pt idx="0">
                  <c:v>11.651440000000001</c:v>
                </c:pt>
                <c:pt idx="1">
                  <c:v>528.79869999999994</c:v>
                </c:pt>
                <c:pt idx="2">
                  <c:v>751.99541333333343</c:v>
                </c:pt>
                <c:pt idx="3">
                  <c:v>1026.69694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67-6141-8DD3-617429D2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20576"/>
        <c:axId val="2101183936"/>
      </c:lineChart>
      <c:catAx>
        <c:axId val="202639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4250528"/>
        <c:crosses val="autoZero"/>
        <c:auto val="1"/>
        <c:lblAlgn val="ctr"/>
        <c:lblOffset val="100"/>
        <c:noMultiLvlLbl val="0"/>
      </c:catAx>
      <c:valAx>
        <c:axId val="188425052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26399888"/>
        <c:crosses val="autoZero"/>
        <c:crossBetween val="between"/>
      </c:valAx>
      <c:valAx>
        <c:axId val="2101183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Allocated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20576"/>
        <c:crosses val="max"/>
        <c:crossBetween val="between"/>
      </c:valAx>
      <c:catAx>
        <c:axId val="210122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1183936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8618811784582"/>
          <c:y val="6.6396505485405877E-2"/>
          <c:w val="0.74249451594606453"/>
          <c:h val="0.71143337307209775"/>
        </c:manualLayout>
      </c:layout>
      <c:lineChart>
        <c:grouping val="standard"/>
        <c:varyColors val="0"/>
        <c:ser>
          <c:idx val="3"/>
          <c:order val="0"/>
          <c:tx>
            <c:strRef>
              <c:f>Sheet1!$B$95</c:f>
              <c:strCache>
                <c:ptCount val="1"/>
                <c:pt idx="0">
                  <c:v>Classic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Sheet1!$A$78:$A$81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Sheet1!$B$96:$B$99</c:f>
              <c:numCache>
                <c:formatCode>General</c:formatCode>
                <c:ptCount val="4"/>
                <c:pt idx="0">
                  <c:v>0.74</c:v>
                </c:pt>
                <c:pt idx="1">
                  <c:v>1.06</c:v>
                </c:pt>
                <c:pt idx="2">
                  <c:v>0.98666666666666669</c:v>
                </c:pt>
                <c:pt idx="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FC-CF44-8C87-BE7B947ECAE3}"/>
            </c:ext>
          </c:extLst>
        </c:ser>
        <c:ser>
          <c:idx val="4"/>
          <c:order val="1"/>
          <c:tx>
            <c:strRef>
              <c:f>Sheet1!$C$95</c:f>
              <c:strCache>
                <c:ptCount val="1"/>
                <c:pt idx="0">
                  <c:v>ECRO</c:v>
                </c:pt>
              </c:strCache>
            </c:strRef>
          </c:tx>
          <c:spPr>
            <a:ln w="19050">
              <a:solidFill>
                <a:schemeClr val="accent2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Sheet1!$A$78:$A$81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Sheet1!$C$96:$C$99</c:f>
              <c:numCache>
                <c:formatCode>General</c:formatCode>
                <c:ptCount val="4"/>
                <c:pt idx="0">
                  <c:v>470.45</c:v>
                </c:pt>
                <c:pt idx="1">
                  <c:v>2116.2510000000002</c:v>
                </c:pt>
                <c:pt idx="2">
                  <c:v>4281.1530000000002</c:v>
                </c:pt>
                <c:pt idx="3">
                  <c:v>7682.29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FC-CF44-8C87-BE7B947ECAE3}"/>
            </c:ext>
          </c:extLst>
        </c:ser>
        <c:ser>
          <c:idx val="5"/>
          <c:order val="2"/>
          <c:tx>
            <c:strRef>
              <c:f>Sheet1!$D$95</c:f>
              <c:strCache>
                <c:ptCount val="1"/>
                <c:pt idx="0">
                  <c:v>SemiECRO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Sheet1!$A$78:$A$81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Sheet1!$D$96:$D$99</c:f>
              <c:numCache>
                <c:formatCode>General</c:formatCode>
                <c:ptCount val="4"/>
                <c:pt idx="0">
                  <c:v>166.04</c:v>
                </c:pt>
                <c:pt idx="1">
                  <c:v>350.85</c:v>
                </c:pt>
                <c:pt idx="2">
                  <c:v>784.79333333333329</c:v>
                </c:pt>
                <c:pt idx="3">
                  <c:v>1001.44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FC-CF44-8C87-BE7B947E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30495"/>
        <c:axId val="782924767"/>
      </c:lineChart>
      <c:lineChart>
        <c:grouping val="standard"/>
        <c:varyColors val="0"/>
        <c:ser>
          <c:idx val="0"/>
          <c:order val="3"/>
          <c:tx>
            <c:strRef>
              <c:f>Sheet1!$B$101</c:f>
              <c:strCache>
                <c:ptCount val="1"/>
                <c:pt idx="0">
                  <c:v>Classic-mem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val>
            <c:numRef>
              <c:f>Sheet1!$B$102:$B$105</c:f>
              <c:numCache>
                <c:formatCode>General</c:formatCode>
                <c:ptCount val="4"/>
                <c:pt idx="0">
                  <c:v>108.05200000000001</c:v>
                </c:pt>
                <c:pt idx="1">
                  <c:v>190.69595999999999</c:v>
                </c:pt>
                <c:pt idx="2">
                  <c:v>265.6848133333333</c:v>
                </c:pt>
                <c:pt idx="3">
                  <c:v>352.31081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C-CF44-8C87-BE7B947ECAE3}"/>
            </c:ext>
          </c:extLst>
        </c:ser>
        <c:ser>
          <c:idx val="1"/>
          <c:order val="4"/>
          <c:tx>
            <c:strRef>
              <c:f>Sheet1!$C$101</c:f>
              <c:strCache>
                <c:ptCount val="1"/>
                <c:pt idx="0">
                  <c:v>ECRO-mem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  <a:prstDash val="dash"/>
              </a:ln>
              <a:effectLst/>
            </c:spPr>
          </c:marker>
          <c:val>
            <c:numRef>
              <c:f>Sheet1!$C$102:$C$105</c:f>
              <c:numCache>
                <c:formatCode>General</c:formatCode>
                <c:ptCount val="4"/>
                <c:pt idx="0">
                  <c:v>30747.02</c:v>
                </c:pt>
                <c:pt idx="1">
                  <c:v>140709.6</c:v>
                </c:pt>
                <c:pt idx="2">
                  <c:v>233692.6</c:v>
                </c:pt>
                <c:pt idx="3">
                  <c:v>389677.84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C-CF44-8C87-BE7B947ECAE3}"/>
            </c:ext>
          </c:extLst>
        </c:ser>
        <c:ser>
          <c:idx val="2"/>
          <c:order val="5"/>
          <c:tx>
            <c:strRef>
              <c:f>Sheet1!$D$101</c:f>
              <c:strCache>
                <c:ptCount val="1"/>
                <c:pt idx="0">
                  <c:v>SemiECRO-mem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  <a:prstDash val="dash"/>
              </a:ln>
              <a:effectLst/>
            </c:spPr>
          </c:marker>
          <c:val>
            <c:numRef>
              <c:f>Sheet1!$D$102:$D$105</c:f>
              <c:numCache>
                <c:formatCode>General</c:formatCode>
                <c:ptCount val="4"/>
                <c:pt idx="0">
                  <c:v>18807.54636</c:v>
                </c:pt>
                <c:pt idx="1">
                  <c:v>30926.84088</c:v>
                </c:pt>
                <c:pt idx="2">
                  <c:v>44091.028680000003</c:v>
                </c:pt>
                <c:pt idx="3">
                  <c:v>53043.904475000003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C-CF44-8C87-BE7B947E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185023"/>
        <c:axId val="782664639"/>
      </c:lineChart>
      <c:catAx>
        <c:axId val="78273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2924767"/>
        <c:crosses val="autoZero"/>
        <c:auto val="1"/>
        <c:lblAlgn val="ctr"/>
        <c:lblOffset val="100"/>
        <c:noMultiLvlLbl val="0"/>
      </c:catAx>
      <c:valAx>
        <c:axId val="7829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time (ms/op)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2730495"/>
        <c:crosses val="autoZero"/>
        <c:crossBetween val="between"/>
      </c:valAx>
      <c:valAx>
        <c:axId val="78266463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Allocated (kB/op)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185023"/>
        <c:crosses val="max"/>
        <c:crossBetween val="between"/>
      </c:valAx>
      <c:catAx>
        <c:axId val="78318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782664639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52</xdr:row>
      <xdr:rowOff>152400</xdr:rowOff>
    </xdr:from>
    <xdr:to>
      <xdr:col>13</xdr:col>
      <xdr:colOff>800100</xdr:colOff>
      <xdr:row>71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09A178-010C-7A44-31B8-C402D523D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307415</xdr:colOff>
      <xdr:row>88</xdr:row>
      <xdr:rowOff>84419</xdr:rowOff>
    </xdr:from>
    <xdr:to>
      <xdr:col>15</xdr:col>
      <xdr:colOff>508000</xdr:colOff>
      <xdr:row>106</xdr:row>
      <xdr:rowOff>164354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973FDE7-8123-E11A-1057-FB098A73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8EDC-72EE-924F-A736-F5D7EAD4071F}">
  <dimension ref="A2:O158"/>
  <sheetViews>
    <sheetView tabSelected="1" topLeftCell="A120" zoomScale="85" zoomScaleNormal="100" workbookViewId="0">
      <selection activeCell="B136" sqref="B136"/>
    </sheetView>
  </sheetViews>
  <sheetFormatPr baseColWidth="10" defaultRowHeight="16" x14ac:dyDescent="0.2"/>
  <cols>
    <col min="1" max="1" width="15.5" customWidth="1"/>
    <col min="2" max="2" width="11.1640625" bestFit="1" customWidth="1"/>
    <col min="6" max="6" width="14.33203125" customWidth="1"/>
    <col min="8" max="8" width="12.6640625" customWidth="1"/>
    <col min="11" max="11" width="14.6640625" customWidth="1"/>
  </cols>
  <sheetData>
    <row r="2" spans="1:15" x14ac:dyDescent="0.2">
      <c r="A2" s="4" t="s">
        <v>0</v>
      </c>
      <c r="B2" s="4"/>
      <c r="C2" s="4"/>
      <c r="D2" s="4"/>
      <c r="F2" s="4" t="s">
        <v>6</v>
      </c>
      <c r="G2" s="4"/>
      <c r="H2" s="4"/>
      <c r="I2" s="4"/>
      <c r="K2" s="4" t="s">
        <v>7</v>
      </c>
      <c r="L2" s="4"/>
      <c r="M2" s="4"/>
      <c r="N2" s="4"/>
    </row>
    <row r="3" spans="1:15" x14ac:dyDescent="0.2">
      <c r="A3" s="2"/>
      <c r="B3" s="1" t="s">
        <v>1</v>
      </c>
      <c r="C3" s="1" t="s">
        <v>2</v>
      </c>
      <c r="D3" s="1" t="s">
        <v>3</v>
      </c>
      <c r="F3" s="2"/>
      <c r="G3" s="1" t="s">
        <v>1</v>
      </c>
      <c r="H3" s="1" t="s">
        <v>2</v>
      </c>
      <c r="I3" s="1" t="s">
        <v>3</v>
      </c>
      <c r="K3" s="2"/>
      <c r="L3" s="1" t="s">
        <v>1</v>
      </c>
      <c r="M3" s="1" t="s">
        <v>2</v>
      </c>
      <c r="N3" s="1" t="s">
        <v>3</v>
      </c>
      <c r="O3" s="1" t="s">
        <v>11</v>
      </c>
    </row>
    <row r="4" spans="1:15" x14ac:dyDescent="0.2">
      <c r="A4" s="1" t="s">
        <v>4</v>
      </c>
      <c r="B4">
        <v>0</v>
      </c>
      <c r="C4">
        <v>0</v>
      </c>
      <c r="D4">
        <v>0</v>
      </c>
      <c r="F4" s="1" t="s">
        <v>4</v>
      </c>
      <c r="G4">
        <v>272.93</v>
      </c>
      <c r="H4">
        <v>0</v>
      </c>
      <c r="I4">
        <v>0</v>
      </c>
      <c r="K4" s="1" t="s">
        <v>4</v>
      </c>
      <c r="L4">
        <v>0.08</v>
      </c>
      <c r="M4">
        <v>0</v>
      </c>
      <c r="N4">
        <v>0</v>
      </c>
    </row>
    <row r="5" spans="1:15" x14ac:dyDescent="0.2">
      <c r="A5" s="1" t="s">
        <v>5</v>
      </c>
      <c r="B5">
        <v>0</v>
      </c>
      <c r="C5">
        <v>0</v>
      </c>
      <c r="D5">
        <v>0</v>
      </c>
      <c r="F5" s="1" t="s">
        <v>5</v>
      </c>
      <c r="G5">
        <v>47772762.880000003</v>
      </c>
      <c r="H5">
        <v>0</v>
      </c>
      <c r="I5">
        <v>0</v>
      </c>
      <c r="K5" s="1" t="s">
        <v>5</v>
      </c>
      <c r="L5">
        <v>17806.810000000001</v>
      </c>
      <c r="M5">
        <v>0</v>
      </c>
      <c r="N5">
        <v>0</v>
      </c>
    </row>
    <row r="9" spans="1:15" x14ac:dyDescent="0.2">
      <c r="A9" s="4" t="s">
        <v>0</v>
      </c>
      <c r="B9" s="4"/>
      <c r="C9" s="4"/>
      <c r="D9" s="4"/>
      <c r="F9" s="4" t="s">
        <v>6</v>
      </c>
      <c r="G9" s="4"/>
      <c r="H9" s="4"/>
      <c r="I9" s="4"/>
      <c r="K9" s="4" t="s">
        <v>7</v>
      </c>
      <c r="L9" s="4"/>
      <c r="M9" s="4"/>
      <c r="N9" s="4"/>
      <c r="O9" t="s">
        <v>12</v>
      </c>
    </row>
    <row r="10" spans="1:15" x14ac:dyDescent="0.2">
      <c r="A10" s="2"/>
      <c r="B10" s="1" t="s">
        <v>1</v>
      </c>
      <c r="C10" s="1" t="s">
        <v>2</v>
      </c>
      <c r="D10" s="1" t="s">
        <v>3</v>
      </c>
      <c r="F10" s="2"/>
      <c r="G10" s="1" t="s">
        <v>1</v>
      </c>
      <c r="H10" s="1" t="s">
        <v>2</v>
      </c>
      <c r="I10" s="1" t="s">
        <v>3</v>
      </c>
      <c r="K10" s="2"/>
      <c r="L10" s="1" t="s">
        <v>1</v>
      </c>
      <c r="M10" s="1" t="s">
        <v>2</v>
      </c>
      <c r="N10" s="1" t="s">
        <v>3</v>
      </c>
    </row>
    <row r="11" spans="1:15" x14ac:dyDescent="0.2">
      <c r="A11" s="1" t="s">
        <v>4</v>
      </c>
      <c r="B11">
        <v>0.24</v>
      </c>
      <c r="F11" s="1" t="s">
        <v>4</v>
      </c>
      <c r="G11">
        <v>22.38</v>
      </c>
      <c r="K11" s="1" t="s">
        <v>4</v>
      </c>
      <c r="L11">
        <v>0.49</v>
      </c>
    </row>
    <row r="12" spans="1:15" x14ac:dyDescent="0.2">
      <c r="A12" s="1" t="s">
        <v>5</v>
      </c>
      <c r="B12">
        <v>62.7</v>
      </c>
      <c r="F12" s="1" t="s">
        <v>5</v>
      </c>
      <c r="G12">
        <v>724.41</v>
      </c>
      <c r="K12" s="1" t="s">
        <v>5</v>
      </c>
      <c r="L12">
        <v>48550</v>
      </c>
    </row>
    <row r="16" spans="1:15" x14ac:dyDescent="0.2">
      <c r="A16" s="3" t="s">
        <v>0</v>
      </c>
      <c r="B16" s="3"/>
      <c r="C16" s="3"/>
      <c r="D16" s="3"/>
      <c r="F16" s="3" t="s">
        <v>6</v>
      </c>
      <c r="G16" s="3"/>
      <c r="H16" s="3"/>
      <c r="I16" s="3"/>
      <c r="K16" s="3" t="s">
        <v>7</v>
      </c>
      <c r="L16" s="3"/>
      <c r="M16" s="3"/>
      <c r="N16" s="3"/>
      <c r="O16" t="s">
        <v>13</v>
      </c>
    </row>
    <row r="17" spans="1:15" x14ac:dyDescent="0.2">
      <c r="A17" s="2"/>
      <c r="B17" s="1" t="s">
        <v>1</v>
      </c>
      <c r="C17" s="1" t="s">
        <v>2</v>
      </c>
      <c r="D17" s="1" t="s">
        <v>3</v>
      </c>
      <c r="F17" s="2"/>
      <c r="G17" s="1" t="s">
        <v>1</v>
      </c>
      <c r="H17" s="1" t="s">
        <v>2</v>
      </c>
      <c r="I17" s="1" t="s">
        <v>3</v>
      </c>
      <c r="K17" s="2"/>
      <c r="L17" s="1" t="s">
        <v>1</v>
      </c>
      <c r="M17" s="1" t="s">
        <v>2</v>
      </c>
      <c r="N17" s="1" t="s">
        <v>3</v>
      </c>
    </row>
    <row r="18" spans="1:15" x14ac:dyDescent="0.2">
      <c r="A18" s="1" t="s">
        <v>4</v>
      </c>
      <c r="B18">
        <v>0.21</v>
      </c>
      <c r="F18" s="1" t="s">
        <v>4</v>
      </c>
      <c r="K18" s="1" t="s">
        <v>4</v>
      </c>
      <c r="L18">
        <v>0.97</v>
      </c>
    </row>
    <row r="19" spans="1:15" x14ac:dyDescent="0.2">
      <c r="A19" s="1" t="s">
        <v>5</v>
      </c>
      <c r="B19">
        <v>153.68</v>
      </c>
      <c r="F19" s="1" t="s">
        <v>5</v>
      </c>
      <c r="K19" s="1" t="s">
        <v>5</v>
      </c>
      <c r="L19">
        <v>86385.01</v>
      </c>
    </row>
    <row r="21" spans="1:1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3" spans="1:15" x14ac:dyDescent="0.2">
      <c r="A23" s="3" t="s">
        <v>0</v>
      </c>
      <c r="B23" s="3"/>
      <c r="C23" s="3"/>
      <c r="D23" s="3"/>
      <c r="F23" s="3" t="s">
        <v>6</v>
      </c>
      <c r="G23" s="3"/>
      <c r="H23" s="3"/>
      <c r="I23" s="3"/>
      <c r="K23" s="3" t="s">
        <v>7</v>
      </c>
      <c r="L23" s="3"/>
      <c r="M23" s="3"/>
      <c r="N23" s="3"/>
      <c r="O23" t="s">
        <v>14</v>
      </c>
    </row>
    <row r="24" spans="1:15" x14ac:dyDescent="0.2">
      <c r="A24" s="2"/>
      <c r="B24" s="1" t="s">
        <v>1</v>
      </c>
      <c r="C24" s="1" t="s">
        <v>2</v>
      </c>
      <c r="D24" s="1" t="s">
        <v>3</v>
      </c>
      <c r="F24" s="2"/>
      <c r="G24" s="1" t="s">
        <v>1</v>
      </c>
      <c r="H24" s="1" t="s">
        <v>2</v>
      </c>
      <c r="I24" s="1" t="s">
        <v>3</v>
      </c>
      <c r="K24" s="2"/>
      <c r="L24" s="1" t="s">
        <v>1</v>
      </c>
      <c r="M24" s="1" t="s">
        <v>2</v>
      </c>
      <c r="N24" s="1" t="s">
        <v>3</v>
      </c>
    </row>
    <row r="25" spans="1:15" x14ac:dyDescent="0.2">
      <c r="A25" s="1" t="s">
        <v>4</v>
      </c>
      <c r="F25" s="1" t="s">
        <v>4</v>
      </c>
      <c r="K25" s="1" t="s">
        <v>4</v>
      </c>
    </row>
    <row r="26" spans="1:15" x14ac:dyDescent="0.2">
      <c r="A26" s="1" t="s">
        <v>5</v>
      </c>
      <c r="F26" s="1" t="s">
        <v>5</v>
      </c>
      <c r="K26" s="1" t="s">
        <v>5</v>
      </c>
    </row>
    <row r="30" spans="1:1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5" x14ac:dyDescent="0.2">
      <c r="G31" t="s">
        <v>23</v>
      </c>
    </row>
    <row r="34" spans="1:15" x14ac:dyDescent="0.2">
      <c r="A34" s="4" t="s">
        <v>8</v>
      </c>
      <c r="B34" s="4"/>
      <c r="C34" s="4"/>
      <c r="D34" s="4"/>
      <c r="F34" s="4" t="s">
        <v>9</v>
      </c>
      <c r="G34" s="4"/>
      <c r="H34" s="4"/>
      <c r="I34" s="4"/>
      <c r="K34" s="4" t="s">
        <v>10</v>
      </c>
      <c r="L34" s="4"/>
      <c r="M34" s="4"/>
      <c r="N34" s="4"/>
    </row>
    <row r="35" spans="1:15" x14ac:dyDescent="0.2">
      <c r="A35" s="2"/>
      <c r="B35" s="1" t="s">
        <v>1</v>
      </c>
      <c r="C35" s="1" t="s">
        <v>2</v>
      </c>
      <c r="D35" s="1" t="s">
        <v>3</v>
      </c>
      <c r="F35" s="2"/>
      <c r="G35" s="1" t="s">
        <v>1</v>
      </c>
      <c r="H35" s="1" t="s">
        <v>2</v>
      </c>
      <c r="I35" s="1" t="s">
        <v>3</v>
      </c>
      <c r="K35" s="2"/>
      <c r="L35" s="1" t="s">
        <v>1</v>
      </c>
      <c r="M35" s="1" t="s">
        <v>2</v>
      </c>
      <c r="N35" s="1" t="s">
        <v>3</v>
      </c>
      <c r="O35" s="1">
        <v>500</v>
      </c>
    </row>
    <row r="36" spans="1:15" x14ac:dyDescent="0.2">
      <c r="A36" s="1" t="s">
        <v>4</v>
      </c>
      <c r="B36">
        <f>(0.14/O35)*1000</f>
        <v>0.28000000000000003</v>
      </c>
      <c r="F36" s="1" t="s">
        <v>4</v>
      </c>
      <c r="G36">
        <f>(2.19/O35)*1000</f>
        <v>4.38</v>
      </c>
      <c r="K36" s="1" t="s">
        <v>4</v>
      </c>
      <c r="L36">
        <f>(0.42/O35)*1000</f>
        <v>0.84</v>
      </c>
    </row>
    <row r="37" spans="1:15" x14ac:dyDescent="0.2">
      <c r="A37" s="1" t="s">
        <v>5</v>
      </c>
      <c r="B37">
        <f>12440/O35</f>
        <v>24.88</v>
      </c>
      <c r="F37" s="1" t="s">
        <v>5</v>
      </c>
      <c r="G37">
        <f>531692.62/O35</f>
        <v>1063.3852400000001</v>
      </c>
      <c r="K37" s="1" t="s">
        <v>5</v>
      </c>
      <c r="L37">
        <f>5825.72/O35</f>
        <v>11.651440000000001</v>
      </c>
    </row>
    <row r="41" spans="1:15" x14ac:dyDescent="0.2">
      <c r="A41" s="4" t="s">
        <v>8</v>
      </c>
      <c r="B41" s="4"/>
      <c r="C41" s="4"/>
      <c r="D41" s="4"/>
      <c r="F41" s="4" t="s">
        <v>9</v>
      </c>
      <c r="G41" s="4"/>
      <c r="H41" s="4"/>
      <c r="I41" s="4"/>
      <c r="K41" s="4" t="s">
        <v>10</v>
      </c>
      <c r="L41" s="4"/>
      <c r="M41" s="4"/>
      <c r="N41" s="4"/>
    </row>
    <row r="42" spans="1:15" x14ac:dyDescent="0.2">
      <c r="A42" s="2"/>
      <c r="B42" s="1" t="s">
        <v>1</v>
      </c>
      <c r="C42" s="1" t="s">
        <v>2</v>
      </c>
      <c r="D42" s="1" t="s">
        <v>3</v>
      </c>
      <c r="F42" s="2"/>
      <c r="G42" s="1" t="s">
        <v>1</v>
      </c>
      <c r="H42" s="1" t="s">
        <v>2</v>
      </c>
      <c r="I42" s="1" t="s">
        <v>3</v>
      </c>
      <c r="K42" s="2"/>
      <c r="L42" s="1" t="s">
        <v>1</v>
      </c>
      <c r="M42" s="1" t="s">
        <v>2</v>
      </c>
      <c r="N42" s="1" t="s">
        <v>3</v>
      </c>
      <c r="O42" s="1">
        <v>1000</v>
      </c>
    </row>
    <row r="43" spans="1:15" x14ac:dyDescent="0.2">
      <c r="A43" s="1" t="s">
        <v>4</v>
      </c>
      <c r="B43">
        <f>(0.04/O42)*1000</f>
        <v>0.04</v>
      </c>
      <c r="F43" s="1" t="s">
        <v>4</v>
      </c>
      <c r="G43">
        <f>(72.1/O42)*1000</f>
        <v>72.099999999999994</v>
      </c>
      <c r="K43" s="1" t="s">
        <v>4</v>
      </c>
      <c r="L43">
        <f>(5.86/O42)*1000</f>
        <v>5.86</v>
      </c>
    </row>
    <row r="44" spans="1:15" x14ac:dyDescent="0.2">
      <c r="A44" s="1" t="s">
        <v>5</v>
      </c>
      <c r="B44">
        <f>17870/O42</f>
        <v>17.87</v>
      </c>
      <c r="F44" s="1" t="s">
        <v>5</v>
      </c>
      <c r="G44">
        <f>17290699.94/O42</f>
        <v>17290.699940000002</v>
      </c>
      <c r="K44" s="1" t="s">
        <v>5</v>
      </c>
      <c r="L44">
        <f>528798.7/O42</f>
        <v>528.79869999999994</v>
      </c>
    </row>
    <row r="48" spans="1:15" x14ac:dyDescent="0.2">
      <c r="A48" s="4" t="s">
        <v>8</v>
      </c>
      <c r="B48" s="4"/>
      <c r="C48" s="4"/>
      <c r="D48" s="4"/>
      <c r="F48" s="4" t="s">
        <v>9</v>
      </c>
      <c r="G48" s="4"/>
      <c r="H48" s="4"/>
      <c r="I48" s="4"/>
      <c r="K48" s="4" t="s">
        <v>10</v>
      </c>
      <c r="L48" s="4"/>
      <c r="M48" s="4"/>
      <c r="N48" s="4"/>
    </row>
    <row r="49" spans="1:15" x14ac:dyDescent="0.2">
      <c r="A49" s="2"/>
      <c r="B49" s="1" t="s">
        <v>1</v>
      </c>
      <c r="C49" s="1" t="s">
        <v>2</v>
      </c>
      <c r="D49" s="1" t="s">
        <v>3</v>
      </c>
      <c r="F49" s="2"/>
      <c r="G49" s="1" t="s">
        <v>1</v>
      </c>
      <c r="H49" s="1" t="s">
        <v>2</v>
      </c>
      <c r="I49" s="1" t="s">
        <v>3</v>
      </c>
      <c r="K49" s="2"/>
      <c r="L49" s="1" t="s">
        <v>1</v>
      </c>
      <c r="M49" s="1" t="s">
        <v>2</v>
      </c>
      <c r="N49" s="1" t="s">
        <v>3</v>
      </c>
      <c r="O49" s="1">
        <v>1500</v>
      </c>
    </row>
    <row r="50" spans="1:15" x14ac:dyDescent="0.2">
      <c r="A50" s="1" t="s">
        <v>4</v>
      </c>
      <c r="B50">
        <f>(0.65/O49)*1000</f>
        <v>0.43333333333333335</v>
      </c>
      <c r="F50" s="1" t="s">
        <v>4</v>
      </c>
      <c r="G50">
        <f>(170.77/O49)*1000</f>
        <v>113.84666666666668</v>
      </c>
      <c r="K50" s="1" t="s">
        <v>4</v>
      </c>
      <c r="L50">
        <f>(11.65/O49)*1000</f>
        <v>7.7666666666666666</v>
      </c>
    </row>
    <row r="51" spans="1:15" x14ac:dyDescent="0.2">
      <c r="A51" s="1" t="s">
        <v>5</v>
      </c>
      <c r="B51">
        <f>40907.23/O49</f>
        <v>27.271486666666668</v>
      </c>
      <c r="F51" s="1" t="s">
        <v>5</v>
      </c>
      <c r="G51">
        <f>35020837.75/O49</f>
        <v>23347.225166666667</v>
      </c>
      <c r="K51" s="1" t="s">
        <v>5</v>
      </c>
      <c r="L51">
        <f>1127993.12/O49</f>
        <v>751.99541333333343</v>
      </c>
    </row>
    <row r="55" spans="1:15" x14ac:dyDescent="0.2">
      <c r="A55" s="4" t="s">
        <v>8</v>
      </c>
      <c r="B55" s="4"/>
      <c r="C55" s="4"/>
      <c r="D55" s="4"/>
      <c r="F55" s="4" t="s">
        <v>9</v>
      </c>
      <c r="G55" s="4"/>
      <c r="H55" s="4"/>
      <c r="I55" s="4"/>
      <c r="K55" s="4" t="s">
        <v>10</v>
      </c>
      <c r="L55" s="4"/>
      <c r="M55" s="4"/>
      <c r="N55" s="4"/>
    </row>
    <row r="56" spans="1:15" x14ac:dyDescent="0.2">
      <c r="A56" s="2"/>
      <c r="B56" s="1" t="s">
        <v>1</v>
      </c>
      <c r="C56" s="1" t="s">
        <v>2</v>
      </c>
      <c r="D56" s="1" t="s">
        <v>3</v>
      </c>
      <c r="F56" s="2"/>
      <c r="G56" s="1" t="s">
        <v>1</v>
      </c>
      <c r="H56" s="1" t="s">
        <v>2</v>
      </c>
      <c r="I56" s="1" t="s">
        <v>3</v>
      </c>
      <c r="K56" s="2"/>
      <c r="L56" s="1" t="s">
        <v>1</v>
      </c>
      <c r="M56" s="1" t="s">
        <v>2</v>
      </c>
      <c r="N56" s="1" t="s">
        <v>3</v>
      </c>
      <c r="O56" s="1">
        <v>2000</v>
      </c>
    </row>
    <row r="57" spans="1:15" x14ac:dyDescent="0.2">
      <c r="A57" s="1" t="s">
        <v>4</v>
      </c>
      <c r="B57">
        <f>(0.91/O56)*1000</f>
        <v>0.45500000000000002</v>
      </c>
      <c r="F57" s="1" t="s">
        <v>4</v>
      </c>
      <c r="G57">
        <f>(541.49/O56)*1000</f>
        <v>270.745</v>
      </c>
      <c r="K57" s="1" t="s">
        <v>4</v>
      </c>
      <c r="L57">
        <f>(25.14/O56)*1000</f>
        <v>12.57</v>
      </c>
    </row>
    <row r="58" spans="1:15" x14ac:dyDescent="0.2">
      <c r="A58" s="1" t="s">
        <v>5</v>
      </c>
      <c r="B58">
        <f>70458.77/O56</f>
        <v>35.229385000000001</v>
      </c>
      <c r="F58" s="1" t="s">
        <v>5</v>
      </c>
      <c r="G58">
        <f>74971504.12/O56</f>
        <v>37485.752059999999</v>
      </c>
      <c r="K58" s="1" t="s">
        <v>5</v>
      </c>
      <c r="L58">
        <f>2053393.88/O56</f>
        <v>1026.69694</v>
      </c>
    </row>
    <row r="60" spans="1:15" x14ac:dyDescent="0.2">
      <c r="A60" t="s">
        <v>18</v>
      </c>
      <c r="B60" t="s">
        <v>15</v>
      </c>
      <c r="C60" t="s">
        <v>16</v>
      </c>
      <c r="D60" t="s">
        <v>17</v>
      </c>
    </row>
    <row r="61" spans="1:15" x14ac:dyDescent="0.2">
      <c r="A61">
        <v>500</v>
      </c>
      <c r="B61">
        <v>0.28000000000000003</v>
      </c>
      <c r="C61">
        <v>2.38</v>
      </c>
      <c r="D61">
        <v>0.84</v>
      </c>
    </row>
    <row r="62" spans="1:15" x14ac:dyDescent="0.2">
      <c r="A62">
        <v>1000</v>
      </c>
      <c r="B62">
        <v>0.04</v>
      </c>
      <c r="C62">
        <v>37.1</v>
      </c>
      <c r="D62">
        <v>5.86</v>
      </c>
    </row>
    <row r="63" spans="1:15" x14ac:dyDescent="0.2">
      <c r="A63">
        <v>1500</v>
      </c>
      <c r="B63">
        <v>0.43333333333333335</v>
      </c>
      <c r="C63">
        <v>54.846666666666998</v>
      </c>
      <c r="D63">
        <v>7.7666666666666666</v>
      </c>
    </row>
    <row r="64" spans="1:15" x14ac:dyDescent="0.2">
      <c r="A64">
        <v>2000</v>
      </c>
      <c r="B64">
        <v>0.45500000000000002</v>
      </c>
      <c r="C64">
        <v>112.745</v>
      </c>
      <c r="D64">
        <v>12.57</v>
      </c>
    </row>
    <row r="66" spans="1:14" x14ac:dyDescent="0.2">
      <c r="A66" t="s">
        <v>19</v>
      </c>
      <c r="B66" t="s">
        <v>20</v>
      </c>
      <c r="C66" t="s">
        <v>21</v>
      </c>
      <c r="D66" t="s">
        <v>22</v>
      </c>
    </row>
    <row r="67" spans="1:14" x14ac:dyDescent="0.2">
      <c r="A67">
        <v>500</v>
      </c>
      <c r="B67">
        <v>24.88</v>
      </c>
      <c r="C67">
        <v>563.38523999999995</v>
      </c>
      <c r="D67">
        <v>11.651440000000001</v>
      </c>
    </row>
    <row r="68" spans="1:14" x14ac:dyDescent="0.2">
      <c r="A68">
        <v>1000</v>
      </c>
      <c r="B68">
        <v>17.87</v>
      </c>
      <c r="C68">
        <v>1729.69994</v>
      </c>
      <c r="D68">
        <v>528.79869999999994</v>
      </c>
    </row>
    <row r="69" spans="1:14" x14ac:dyDescent="0.2">
      <c r="A69">
        <v>1500</v>
      </c>
      <c r="B69">
        <v>27.271486666666668</v>
      </c>
      <c r="C69">
        <v>2334.2251666666998</v>
      </c>
      <c r="D69">
        <v>751.99541333333343</v>
      </c>
    </row>
    <row r="70" spans="1:14" x14ac:dyDescent="0.2">
      <c r="A70">
        <v>2000</v>
      </c>
      <c r="B70">
        <v>35.229385000000001</v>
      </c>
      <c r="C70">
        <v>3748.7520599999998</v>
      </c>
      <c r="D70">
        <v>1026.69694</v>
      </c>
    </row>
    <row r="73" spans="1:14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H74" t="s">
        <v>24</v>
      </c>
    </row>
    <row r="76" spans="1:14" x14ac:dyDescent="0.2">
      <c r="L76" t="s">
        <v>27</v>
      </c>
    </row>
    <row r="77" spans="1:14" x14ac:dyDescent="0.2">
      <c r="A77" t="s">
        <v>18</v>
      </c>
      <c r="B77" t="s">
        <v>15</v>
      </c>
      <c r="C77" t="s">
        <v>16</v>
      </c>
      <c r="D77" t="s">
        <v>17</v>
      </c>
    </row>
    <row r="78" spans="1:14" x14ac:dyDescent="0.2">
      <c r="A78">
        <v>500</v>
      </c>
      <c r="B78">
        <v>0.06</v>
      </c>
      <c r="C78">
        <v>3.8</v>
      </c>
      <c r="D78">
        <v>5.8000000000000003E-2</v>
      </c>
    </row>
    <row r="79" spans="1:14" x14ac:dyDescent="0.2">
      <c r="A79">
        <v>1000</v>
      </c>
      <c r="B79">
        <v>0.23</v>
      </c>
      <c r="C79">
        <v>16.920000000000002</v>
      </c>
      <c r="D79">
        <v>2.99</v>
      </c>
    </row>
    <row r="80" spans="1:14" x14ac:dyDescent="0.2">
      <c r="A80">
        <v>1500</v>
      </c>
      <c r="B80">
        <v>0.19</v>
      </c>
      <c r="C80">
        <v>38.979999999999997</v>
      </c>
      <c r="D80">
        <v>6.21</v>
      </c>
    </row>
    <row r="81" spans="1:14" x14ac:dyDescent="0.2">
      <c r="A81">
        <v>2000</v>
      </c>
      <c r="B81">
        <f t="shared" ref="B79:D81" ca="1" si="0">B81/A81</f>
        <v>0</v>
      </c>
      <c r="C81">
        <f t="shared" ca="1" si="0"/>
        <v>0</v>
      </c>
      <c r="D81">
        <f t="shared" ca="1" si="0"/>
        <v>0</v>
      </c>
    </row>
    <row r="83" spans="1:14" x14ac:dyDescent="0.2">
      <c r="A83" t="s">
        <v>19</v>
      </c>
      <c r="B83" t="s">
        <v>20</v>
      </c>
      <c r="C83" t="s">
        <v>21</v>
      </c>
      <c r="D83" t="s">
        <v>22</v>
      </c>
    </row>
    <row r="84" spans="1:14" x14ac:dyDescent="0.2">
      <c r="A84">
        <v>500</v>
      </c>
      <c r="B84">
        <v>1507.28</v>
      </c>
      <c r="C84">
        <v>444621.38</v>
      </c>
      <c r="D84">
        <v>29344.57</v>
      </c>
    </row>
    <row r="85" spans="1:14" x14ac:dyDescent="0.2">
      <c r="A85">
        <v>1000</v>
      </c>
      <c r="B85">
        <v>6169.23</v>
      </c>
      <c r="C85">
        <v>837886.02</v>
      </c>
      <c r="D85">
        <v>73891.570000000007</v>
      </c>
    </row>
    <row r="86" spans="1:14" x14ac:dyDescent="0.2">
      <c r="A86">
        <v>1500</v>
      </c>
      <c r="B86">
        <v>12130.2</v>
      </c>
      <c r="C86">
        <v>7514869.9500000002</v>
      </c>
      <c r="D86">
        <v>98778.47</v>
      </c>
    </row>
    <row r="87" spans="1:14" x14ac:dyDescent="0.2">
      <c r="A87">
        <v>2000</v>
      </c>
      <c r="B87">
        <f t="shared" ref="B87:D87" ca="1" si="1">B87/A87</f>
        <v>0</v>
      </c>
      <c r="C87">
        <f t="shared" ca="1" si="1"/>
        <v>0</v>
      </c>
      <c r="D87">
        <f t="shared" ca="1" si="1"/>
        <v>0</v>
      </c>
    </row>
    <row r="91" spans="1:14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H92" t="s">
        <v>25</v>
      </c>
    </row>
    <row r="95" spans="1:14" x14ac:dyDescent="0.2">
      <c r="A95" t="s">
        <v>18</v>
      </c>
      <c r="B95" t="s">
        <v>15</v>
      </c>
      <c r="C95" t="s">
        <v>16</v>
      </c>
      <c r="D95" t="s">
        <v>17</v>
      </c>
    </row>
    <row r="96" spans="1:14" x14ac:dyDescent="0.2">
      <c r="A96">
        <v>500</v>
      </c>
      <c r="B96">
        <f>(0.37/A96)*1000</f>
        <v>0.74</v>
      </c>
      <c r="C96">
        <v>470.45</v>
      </c>
      <c r="D96">
        <f>(83.02/500)*1000</f>
        <v>166.04</v>
      </c>
    </row>
    <row r="97" spans="1:14" x14ac:dyDescent="0.2">
      <c r="A97">
        <v>1000</v>
      </c>
      <c r="B97">
        <f>(1.06/1000)*1000</f>
        <v>1.06</v>
      </c>
      <c r="C97">
        <v>2116.2510000000002</v>
      </c>
      <c r="D97">
        <v>350.85</v>
      </c>
    </row>
    <row r="98" spans="1:14" x14ac:dyDescent="0.2">
      <c r="A98">
        <v>1500</v>
      </c>
      <c r="B98">
        <f>(1.48/A98)*1000</f>
        <v>0.98666666666666669</v>
      </c>
      <c r="C98">
        <v>4281.1530000000002</v>
      </c>
      <c r="D98">
        <f>(1177.19/A98)*1000</f>
        <v>784.79333333333329</v>
      </c>
    </row>
    <row r="99" spans="1:14" x14ac:dyDescent="0.2">
      <c r="A99">
        <v>2000</v>
      </c>
      <c r="B99">
        <f>(3.3/A99)*1000</f>
        <v>1.65</v>
      </c>
      <c r="C99">
        <v>7682.29</v>
      </c>
      <c r="D99">
        <f>(2002.88/A99)*1000</f>
        <v>1001.44</v>
      </c>
    </row>
    <row r="101" spans="1:14" x14ac:dyDescent="0.2">
      <c r="A101" t="s">
        <v>19</v>
      </c>
      <c r="B101" t="s">
        <v>20</v>
      </c>
      <c r="C101" t="s">
        <v>21</v>
      </c>
      <c r="D101" t="s">
        <v>22</v>
      </c>
    </row>
    <row r="102" spans="1:14" x14ac:dyDescent="0.2">
      <c r="A102">
        <v>500</v>
      </c>
      <c r="B102">
        <f>54026/500</f>
        <v>108.05200000000001</v>
      </c>
      <c r="C102">
        <v>30747.02</v>
      </c>
      <c r="D102">
        <f>9403773.18/500</f>
        <v>18807.54636</v>
      </c>
    </row>
    <row r="103" spans="1:14" x14ac:dyDescent="0.2">
      <c r="A103">
        <v>1000</v>
      </c>
      <c r="B103">
        <f>190695.96/1000</f>
        <v>190.69595999999999</v>
      </c>
      <c r="C103">
        <v>140709.6</v>
      </c>
      <c r="D103">
        <f>30926840.88/1000</f>
        <v>30926.84088</v>
      </c>
    </row>
    <row r="104" spans="1:14" x14ac:dyDescent="0.2">
      <c r="A104">
        <v>1500</v>
      </c>
      <c r="B104">
        <f>398527.22/1500</f>
        <v>265.6848133333333</v>
      </c>
      <c r="C104">
        <v>233692.6</v>
      </c>
      <c r="D104">
        <f>66136543.02/1500</f>
        <v>44091.028680000003</v>
      </c>
      <c r="F104">
        <v>101314.68700000001</v>
      </c>
    </row>
    <row r="105" spans="1:14" x14ac:dyDescent="0.2">
      <c r="A105">
        <v>2000</v>
      </c>
      <c r="B105">
        <f>704621.62/2000</f>
        <v>352.31081</v>
      </c>
      <c r="C105">
        <v>389677.84</v>
      </c>
      <c r="D105">
        <f>106087808.95/2000</f>
        <v>53043.904475000003</v>
      </c>
    </row>
    <row r="108" spans="1:14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H109" t="s">
        <v>26</v>
      </c>
    </row>
    <row r="112" spans="1:14" x14ac:dyDescent="0.2">
      <c r="A112" t="s">
        <v>18</v>
      </c>
      <c r="B112" t="s">
        <v>15</v>
      </c>
      <c r="C112" t="s">
        <v>16</v>
      </c>
      <c r="D112" t="s">
        <v>17</v>
      </c>
      <c r="H112" t="s">
        <v>19</v>
      </c>
      <c r="I112" t="s">
        <v>20</v>
      </c>
      <c r="J112" t="s">
        <v>21</v>
      </c>
      <c r="K112" t="s">
        <v>22</v>
      </c>
    </row>
    <row r="113" spans="1:14" x14ac:dyDescent="0.2">
      <c r="A113">
        <v>500</v>
      </c>
      <c r="C113">
        <f t="shared" ref="C113:D113" ca="1" si="2">C113/B113</f>
        <v>0</v>
      </c>
      <c r="D113">
        <f t="shared" ca="1" si="2"/>
        <v>0</v>
      </c>
      <c r="H113">
        <v>500</v>
      </c>
      <c r="I113">
        <f>54026/500</f>
        <v>108.05200000000001</v>
      </c>
      <c r="J113">
        <v>403747.02</v>
      </c>
      <c r="K113">
        <f>9403773.18/500</f>
        <v>18807.54636</v>
      </c>
    </row>
    <row r="114" spans="1:14" x14ac:dyDescent="0.2">
      <c r="A114">
        <v>1000</v>
      </c>
      <c r="B114">
        <f t="shared" ref="B114:D114" ca="1" si="3">B114/A114</f>
        <v>0</v>
      </c>
      <c r="C114">
        <f t="shared" ca="1" si="3"/>
        <v>0</v>
      </c>
      <c r="D114">
        <f t="shared" ca="1" si="3"/>
        <v>0</v>
      </c>
      <c r="H114">
        <v>1000</v>
      </c>
      <c r="I114">
        <f>190695.96/1000</f>
        <v>190.69595999999999</v>
      </c>
      <c r="J114">
        <v>704709.6</v>
      </c>
      <c r="K114">
        <f>30926840.88/1000</f>
        <v>30926.84088</v>
      </c>
    </row>
    <row r="115" spans="1:14" x14ac:dyDescent="0.2">
      <c r="A115">
        <v>1500</v>
      </c>
      <c r="B115">
        <f t="shared" ref="B115:D115" ca="1" si="4">B115/A115</f>
        <v>0</v>
      </c>
      <c r="C115">
        <f t="shared" ca="1" si="4"/>
        <v>0</v>
      </c>
      <c r="D115">
        <f t="shared" ca="1" si="4"/>
        <v>0</v>
      </c>
      <c r="H115">
        <v>1500</v>
      </c>
      <c r="I115">
        <f>398527.22/1500</f>
        <v>265.6848133333333</v>
      </c>
      <c r="J115">
        <v>1001692.6</v>
      </c>
      <c r="K115">
        <f>66136543.02/1500</f>
        <v>44091.028680000003</v>
      </c>
    </row>
    <row r="116" spans="1:14" x14ac:dyDescent="0.2">
      <c r="A116">
        <v>2000</v>
      </c>
      <c r="B116">
        <f t="shared" ref="B116:D116" ca="1" si="5">B116/A116</f>
        <v>0</v>
      </c>
      <c r="C116">
        <f t="shared" ca="1" si="5"/>
        <v>0</v>
      </c>
      <c r="D116">
        <f t="shared" ca="1" si="5"/>
        <v>0</v>
      </c>
      <c r="H116">
        <v>2000</v>
      </c>
      <c r="I116">
        <f>704621.62/2000</f>
        <v>352.31081</v>
      </c>
      <c r="J116">
        <v>1903677.84</v>
      </c>
      <c r="K116">
        <f>106087808.95/2000</f>
        <v>53043.904475000003</v>
      </c>
    </row>
    <row r="118" spans="1:14" x14ac:dyDescent="0.2">
      <c r="A118" t="s">
        <v>19</v>
      </c>
      <c r="B118" t="s">
        <v>20</v>
      </c>
      <c r="C118" t="s">
        <v>21</v>
      </c>
      <c r="D118" t="s">
        <v>22</v>
      </c>
    </row>
    <row r="119" spans="1:14" x14ac:dyDescent="0.2">
      <c r="A119">
        <v>500</v>
      </c>
      <c r="B119">
        <f ca="1">B119/A119</f>
        <v>0</v>
      </c>
      <c r="C119">
        <f t="shared" ref="C119:D119" ca="1" si="6">C119/B119</f>
        <v>0</v>
      </c>
      <c r="D119">
        <f t="shared" ca="1" si="6"/>
        <v>0</v>
      </c>
    </row>
    <row r="120" spans="1:14" x14ac:dyDescent="0.2">
      <c r="A120">
        <v>1000</v>
      </c>
      <c r="B120">
        <f t="shared" ref="B120:D120" ca="1" si="7">B120/A120</f>
        <v>0</v>
      </c>
      <c r="C120">
        <f t="shared" ca="1" si="7"/>
        <v>0</v>
      </c>
      <c r="D120">
        <f t="shared" ca="1" si="7"/>
        <v>0</v>
      </c>
    </row>
    <row r="121" spans="1:14" x14ac:dyDescent="0.2">
      <c r="A121">
        <v>1500</v>
      </c>
      <c r="B121">
        <f t="shared" ref="B121:D121" ca="1" si="8">B121/A121</f>
        <v>0</v>
      </c>
      <c r="C121">
        <f t="shared" ca="1" si="8"/>
        <v>0</v>
      </c>
      <c r="D121">
        <f t="shared" ca="1" si="8"/>
        <v>0</v>
      </c>
    </row>
    <row r="122" spans="1:14" x14ac:dyDescent="0.2">
      <c r="A122">
        <v>2000</v>
      </c>
      <c r="B122">
        <f t="shared" ref="B122:D122" ca="1" si="9">B122/A122</f>
        <v>0</v>
      </c>
      <c r="C122">
        <f t="shared" ca="1" si="9"/>
        <v>0</v>
      </c>
      <c r="D122">
        <f t="shared" ca="1" si="9"/>
        <v>0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H126" t="s">
        <v>28</v>
      </c>
    </row>
    <row r="129" spans="1:14" x14ac:dyDescent="0.2">
      <c r="A129" t="s">
        <v>18</v>
      </c>
      <c r="B129" t="s">
        <v>15</v>
      </c>
      <c r="C129" t="s">
        <v>16</v>
      </c>
      <c r="D129" t="s">
        <v>17</v>
      </c>
    </row>
    <row r="130" spans="1:14" x14ac:dyDescent="0.2">
      <c r="A130">
        <v>500</v>
      </c>
      <c r="B130">
        <v>0.01</v>
      </c>
      <c r="C130">
        <f>(232.89/A130)*1000</f>
        <v>465.78</v>
      </c>
      <c r="D130">
        <f>(0.4/A130)*1000</f>
        <v>0.8</v>
      </c>
    </row>
    <row r="131" spans="1:14" x14ac:dyDescent="0.2">
      <c r="A131">
        <v>1000</v>
      </c>
      <c r="B131">
        <v>0.01</v>
      </c>
      <c r="C131">
        <f>(502.62/A131)*1000</f>
        <v>502.61999999999995</v>
      </c>
      <c r="D131">
        <f>(1.04/A131)*1000</f>
        <v>1.04</v>
      </c>
    </row>
    <row r="132" spans="1:14" x14ac:dyDescent="0.2">
      <c r="A132">
        <v>1500</v>
      </c>
      <c r="B132">
        <v>0.01</v>
      </c>
      <c r="C132">
        <f>(756.33/A132)*1000</f>
        <v>504.22</v>
      </c>
      <c r="D132">
        <f>(1.72/A132)*1000</f>
        <v>1.1466666666666667</v>
      </c>
    </row>
    <row r="133" spans="1:14" x14ac:dyDescent="0.2">
      <c r="A133">
        <v>2000</v>
      </c>
      <c r="B133">
        <v>0.01</v>
      </c>
      <c r="C133">
        <f>(1001.02/A133)*1000</f>
        <v>500.51</v>
      </c>
      <c r="D133">
        <f>(1.62/A133)*1000</f>
        <v>0.81</v>
      </c>
    </row>
    <row r="135" spans="1:14" x14ac:dyDescent="0.2">
      <c r="A135" t="s">
        <v>19</v>
      </c>
      <c r="B135" t="s">
        <v>20</v>
      </c>
      <c r="C135" t="s">
        <v>21</v>
      </c>
      <c r="D135" t="s">
        <v>22</v>
      </c>
    </row>
    <row r="136" spans="1:14" x14ac:dyDescent="0.2">
      <c r="A136">
        <v>500</v>
      </c>
      <c r="B136">
        <v>29.43</v>
      </c>
      <c r="C136">
        <v>41401974.93</v>
      </c>
      <c r="D136">
        <v>18918.97</v>
      </c>
    </row>
    <row r="137" spans="1:14" x14ac:dyDescent="0.2">
      <c r="A137">
        <v>1000</v>
      </c>
      <c r="B137">
        <v>54.17</v>
      </c>
      <c r="C137">
        <v>127111944.84</v>
      </c>
      <c r="D137">
        <v>49980.34</v>
      </c>
    </row>
    <row r="138" spans="1:14" x14ac:dyDescent="0.2">
      <c r="A138">
        <v>1500</v>
      </c>
      <c r="B138">
        <v>79.75</v>
      </c>
      <c r="C138">
        <v>171537209.33000001</v>
      </c>
      <c r="D138">
        <v>97211.16</v>
      </c>
    </row>
    <row r="139" spans="1:14" x14ac:dyDescent="0.2">
      <c r="A139">
        <v>2000</v>
      </c>
      <c r="B139">
        <v>96.02</v>
      </c>
      <c r="C139">
        <v>275487761.81</v>
      </c>
      <c r="D139">
        <v>133744.54</v>
      </c>
    </row>
    <row r="144" spans="1:14" x14ac:dyDescent="0.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8" x14ac:dyDescent="0.2">
      <c r="H145" t="s">
        <v>29</v>
      </c>
    </row>
    <row r="148" spans="1:8" x14ac:dyDescent="0.2">
      <c r="A148" t="s">
        <v>18</v>
      </c>
      <c r="B148" t="s">
        <v>15</v>
      </c>
      <c r="C148" t="s">
        <v>16</v>
      </c>
      <c r="D148" t="s">
        <v>17</v>
      </c>
    </row>
    <row r="149" spans="1:8" x14ac:dyDescent="0.2">
      <c r="A149">
        <v>500</v>
      </c>
      <c r="B149">
        <f>(0.02/A149)*1000</f>
        <v>0.04</v>
      </c>
      <c r="C149">
        <f>(4943.09/A149)*1000</f>
        <v>9886.18</v>
      </c>
      <c r="D149">
        <f>(8.49/A149)*1000</f>
        <v>16.98</v>
      </c>
    </row>
    <row r="150" spans="1:8" x14ac:dyDescent="0.2">
      <c r="A150">
        <v>1000</v>
      </c>
      <c r="B150">
        <f>(0.08/A150)*1000</f>
        <v>0.08</v>
      </c>
      <c r="C150">
        <f>(21556.8/A150)*1000</f>
        <v>21556.799999999999</v>
      </c>
      <c r="D150">
        <f>(21.4/A150)*1000</f>
        <v>21.4</v>
      </c>
    </row>
    <row r="151" spans="1:8" x14ac:dyDescent="0.2">
      <c r="A151">
        <v>1500</v>
      </c>
      <c r="B151">
        <f>(0.1/A151)*1000</f>
        <v>6.6666666666666666E-2</v>
      </c>
      <c r="C151">
        <f>(49557.82/A151)*1000</f>
        <v>33038.546666666669</v>
      </c>
      <c r="D151">
        <f>(40.22/A151)*1000</f>
        <v>26.813333333333333</v>
      </c>
    </row>
    <row r="152" spans="1:8" x14ac:dyDescent="0.2">
      <c r="A152">
        <v>2000</v>
      </c>
      <c r="B152">
        <f>(0.12/A152)*1000</f>
        <v>0.06</v>
      </c>
      <c r="C152">
        <f>(149557.9/A152)*1000</f>
        <v>74778.95</v>
      </c>
      <c r="D152">
        <f>(78.08/A152)*1000</f>
        <v>39.04</v>
      </c>
    </row>
    <row r="154" spans="1:8" x14ac:dyDescent="0.2">
      <c r="A154" t="s">
        <v>19</v>
      </c>
      <c r="B154" t="s">
        <v>20</v>
      </c>
      <c r="C154" t="s">
        <v>21</v>
      </c>
      <c r="D154" t="s">
        <v>22</v>
      </c>
    </row>
    <row r="155" spans="1:8" x14ac:dyDescent="0.2">
      <c r="A155">
        <v>500</v>
      </c>
      <c r="B155">
        <f>385.36/A155</f>
        <v>0.77072000000000007</v>
      </c>
      <c r="C155">
        <f>490744652.36/A155</f>
        <v>981489.30472000001</v>
      </c>
      <c r="D155">
        <f>224249.77/A155</f>
        <v>448.49953999999997</v>
      </c>
    </row>
    <row r="156" spans="1:8" x14ac:dyDescent="0.2">
      <c r="A156">
        <v>1000</v>
      </c>
      <c r="B156">
        <f>607.59/A156</f>
        <v>0.60759000000000007</v>
      </c>
      <c r="C156">
        <f>1828040114.4/A156</f>
        <v>1828040.1144000001</v>
      </c>
      <c r="D156">
        <f>718784.27/A156</f>
        <v>718.78426999999999</v>
      </c>
    </row>
    <row r="157" spans="1:8" x14ac:dyDescent="0.2">
      <c r="A157">
        <v>1500</v>
      </c>
      <c r="B157">
        <f>976.4/A157</f>
        <v>0.65093333333333336</v>
      </c>
      <c r="C157">
        <f>2892950748.18/A157</f>
        <v>1928633.8321199999</v>
      </c>
      <c r="D157">
        <f>1639452.45/A157</f>
        <v>1092.9683</v>
      </c>
    </row>
    <row r="158" spans="1:8" x14ac:dyDescent="0.2">
      <c r="A158">
        <v>2000</v>
      </c>
      <c r="B158">
        <f>1243.78/A158</f>
        <v>0.62188999999999994</v>
      </c>
      <c r="C158">
        <f>5234450467.34/A158</f>
        <v>2617225.23367</v>
      </c>
      <c r="D158">
        <f>2541235.1/A158</f>
        <v>1270.6175499999999</v>
      </c>
    </row>
  </sheetData>
  <mergeCells count="18">
    <mergeCell ref="A55:D55"/>
    <mergeCell ref="F55:I55"/>
    <mergeCell ref="K55:N55"/>
    <mergeCell ref="A41:D41"/>
    <mergeCell ref="F41:I41"/>
    <mergeCell ref="K41:N41"/>
    <mergeCell ref="A48:D48"/>
    <mergeCell ref="F48:I48"/>
    <mergeCell ref="K48:N48"/>
    <mergeCell ref="A2:D2"/>
    <mergeCell ref="F2:I2"/>
    <mergeCell ref="K2:N2"/>
    <mergeCell ref="F34:I34"/>
    <mergeCell ref="K34:N34"/>
    <mergeCell ref="A34:D34"/>
    <mergeCell ref="A9:D9"/>
    <mergeCell ref="F9:I9"/>
    <mergeCell ref="K9:N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Filipe Sousa Teixeira</dc:creator>
  <cp:lastModifiedBy>Luís Filipe Sousa Teixeira</cp:lastModifiedBy>
  <dcterms:created xsi:type="dcterms:W3CDTF">2023-06-25T22:50:02Z</dcterms:created>
  <dcterms:modified xsi:type="dcterms:W3CDTF">2023-07-05T00:52:52Z</dcterms:modified>
</cp:coreProperties>
</file>