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xr:revisionPtr revIDLastSave="0" documentId="8_{F72CDFEB-5478-D54D-968D-192D4982670B}" xr6:coauthVersionLast="47" xr6:coauthVersionMax="47" xr10:uidLastSave="{00000000-0000-0000-0000-000000000000}"/>
  <bookViews>
    <workbookView xWindow="0" yWindow="0" windowWidth="16384" windowHeight="8192" tabRatio="500" activeTab="1" xr2:uid="{00000000-000D-0000-FFFF-FFFF00000000}"/>
  </bookViews>
  <sheets>
    <sheet name="IDENTIFICAÇÃO" sheetId="1" r:id="rId1"/>
    <sheet name="IMPRIMIR AQUI!!" sheetId="2" r:id="rId2"/>
  </sheets>
  <definedNames>
    <definedName name="_xlnm.Print_Area" localSheetId="1">'IMPRIMIR AQUI!!'!$A$1:$O$33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" i="2" l="1"/>
  <c r="I32" i="2"/>
  <c r="I31" i="2"/>
  <c r="I30" i="2"/>
  <c r="I29" i="2"/>
  <c r="I28" i="2"/>
  <c r="I27" i="2"/>
  <c r="I26" i="2"/>
  <c r="I25" i="2"/>
  <c r="I24" i="2"/>
  <c r="I23" i="2"/>
  <c r="I22" i="2"/>
  <c r="B3" i="2"/>
  <c r="M21" i="2"/>
  <c r="I21" i="2"/>
  <c r="M20" i="2"/>
  <c r="I20" i="2"/>
  <c r="M19" i="2"/>
  <c r="I19" i="2"/>
  <c r="M18" i="2"/>
  <c r="I18" i="2"/>
  <c r="M17" i="2"/>
  <c r="I17" i="2"/>
  <c r="I16" i="2"/>
  <c r="I15" i="2"/>
  <c r="O14" i="2"/>
  <c r="I14" i="2"/>
  <c r="O13" i="2"/>
  <c r="I13" i="2"/>
  <c r="O12" i="2"/>
  <c r="I12" i="2"/>
  <c r="O11" i="2"/>
  <c r="I11" i="2"/>
  <c r="O10" i="2"/>
  <c r="I10" i="2"/>
  <c r="O9" i="2"/>
  <c r="I9" i="2"/>
  <c r="O8" i="2"/>
  <c r="I8" i="2"/>
  <c r="O7" i="2"/>
  <c r="I7" i="2"/>
  <c r="E4" i="2"/>
  <c r="N3" i="2"/>
  <c r="K3" i="2"/>
  <c r="I3" i="2"/>
  <c r="F3" i="2"/>
  <c r="D3" i="2"/>
  <c r="O2" i="2"/>
  <c r="K2" i="2"/>
  <c r="I2" i="2"/>
  <c r="B2" i="2"/>
</calcChain>
</file>

<file path=xl/sharedStrings.xml><?xml version="1.0" encoding="utf-8"?>
<sst xmlns="http://schemas.openxmlformats.org/spreadsheetml/2006/main" count="196" uniqueCount="115">
  <si>
    <t>PREENCHA A IDENTIFICAÇÃO E IMPRIMA A PRÓXIMA PLANILHA</t>
  </si>
  <si>
    <t>NOME</t>
  </si>
  <si>
    <t>DAVI LUCAS</t>
  </si>
  <si>
    <t>IDADE*</t>
  </si>
  <si>
    <t>Ano(s)</t>
  </si>
  <si>
    <t>Mes(es)</t>
  </si>
  <si>
    <t>Dia(s)</t>
  </si>
  <si>
    <t>PESO (Kg)*</t>
  </si>
  <si>
    <t>ALTURA (cm)</t>
  </si>
  <si>
    <t>*Itens obrigatórios</t>
  </si>
  <si>
    <t>FICHA DE PARADA PEDIÁTRICA</t>
  </si>
  <si>
    <t>Nome:</t>
  </si>
  <si>
    <t>Sup (m²)</t>
  </si>
  <si>
    <t>Lâmina</t>
  </si>
  <si>
    <t xml:space="preserve"> Reta</t>
  </si>
  <si>
    <t xml:space="preserve"> Reta ou Curva</t>
  </si>
  <si>
    <t>Idade:</t>
  </si>
  <si>
    <t>Anos</t>
  </si>
  <si>
    <t>M</t>
  </si>
  <si>
    <t>d</t>
  </si>
  <si>
    <t>Pcal</t>
  </si>
  <si>
    <t>Tubo c/ cuff</t>
  </si>
  <si>
    <t>Peso:</t>
  </si>
  <si>
    <t>Kg</t>
  </si>
  <si>
    <t>Est</t>
  </si>
  <si>
    <t>cm</t>
  </si>
  <si>
    <t>Drogas</t>
  </si>
  <si>
    <t>Apresent.</t>
  </si>
  <si>
    <t>Dose</t>
  </si>
  <si>
    <t>Diluente</t>
  </si>
  <si>
    <t>Diluição</t>
  </si>
  <si>
    <t>Total - ml</t>
  </si>
  <si>
    <t>Max (ml)</t>
  </si>
  <si>
    <t>Fase</t>
  </si>
  <si>
    <t>J/Kg</t>
  </si>
  <si>
    <t>Total - J</t>
  </si>
  <si>
    <t>Adrenalina IV</t>
  </si>
  <si>
    <t>1mg/ml</t>
  </si>
  <si>
    <t>0,01mg/kg</t>
  </si>
  <si>
    <t>AD</t>
  </si>
  <si>
    <t>1 para 9</t>
  </si>
  <si>
    <t>Cardioversão 1ª</t>
  </si>
  <si>
    <t>Bifásico</t>
  </si>
  <si>
    <t>Adrenalina IM</t>
  </si>
  <si>
    <t>S/ diluir</t>
  </si>
  <si>
    <t>Cardioversão 2ª</t>
  </si>
  <si>
    <t>Adrenalina ET</t>
  </si>
  <si>
    <t>0,1mg/kg</t>
  </si>
  <si>
    <t>Cardioversão &gt;2ª</t>
  </si>
  <si>
    <t>Adenosina1º</t>
  </si>
  <si>
    <t>3mg/ml</t>
  </si>
  <si>
    <t>0,1mg/Kg</t>
  </si>
  <si>
    <t>Desfibrilação 1ª</t>
  </si>
  <si>
    <t>Adenosina 2º</t>
  </si>
  <si>
    <t>0,2mg/Kg</t>
  </si>
  <si>
    <t>Desfibrilação 2ª</t>
  </si>
  <si>
    <t>Amiodarona</t>
  </si>
  <si>
    <t>50mg/ml</t>
  </si>
  <si>
    <t>5mg/Kg</t>
  </si>
  <si>
    <t>Desfibrilação 3ª</t>
  </si>
  <si>
    <t>Atropina</t>
  </si>
  <si>
    <t>0,25mg/ml</t>
  </si>
  <si>
    <t>0,025mg/Kg</t>
  </si>
  <si>
    <t>Desfibrilação 4ª</t>
  </si>
  <si>
    <t>Bic. de sódio</t>
  </si>
  <si>
    <t>1mEq/ml</t>
  </si>
  <si>
    <t>1mEq/Kg</t>
  </si>
  <si>
    <t>1 para 1</t>
  </si>
  <si>
    <t>Desfibrilação 5ª</t>
  </si>
  <si>
    <t>Cetamina IV</t>
  </si>
  <si>
    <t>1mg/Kg</t>
  </si>
  <si>
    <t>1 para 4</t>
  </si>
  <si>
    <t>-</t>
  </si>
  <si>
    <t>Cetamina IM</t>
  </si>
  <si>
    <t>Sinais vitais normais</t>
  </si>
  <si>
    <t>Cisatracúrio</t>
  </si>
  <si>
    <t>2mg/ml</t>
  </si>
  <si>
    <t>FC (bpm)</t>
  </si>
  <si>
    <t>Diazepam IV</t>
  </si>
  <si>
    <t>5mg/ml</t>
  </si>
  <si>
    <t>0,5mg/Kg</t>
  </si>
  <si>
    <t>FR (irpm)</t>
  </si>
  <si>
    <t>Diazepam VR</t>
  </si>
  <si>
    <t>PAS (mm/Hg)</t>
  </si>
  <si>
    <t>Fentanil</t>
  </si>
  <si>
    <t>50mcg/ml</t>
  </si>
  <si>
    <t>2mcg/Kg</t>
  </si>
  <si>
    <t>PAD (mm/Hg)</t>
  </si>
  <si>
    <t>Flumazenil</t>
  </si>
  <si>
    <t>0,1mg/ml</t>
  </si>
  <si>
    <t>0,01mg/Kg</t>
  </si>
  <si>
    <t>PAM (mm/Hg)</t>
  </si>
  <si>
    <t>Glicose 25%</t>
  </si>
  <si>
    <t>0,25g/ml</t>
  </si>
  <si>
    <t>0,5g/Kg</t>
  </si>
  <si>
    <t>Gluc. de Ca 10%</t>
  </si>
  <si>
    <t>100mg/ml</t>
  </si>
  <si>
    <t>100mg/Kg</t>
  </si>
  <si>
    <t>Lidocaína 2%</t>
  </si>
  <si>
    <t>20mg/ml</t>
  </si>
  <si>
    <t>SG5%</t>
  </si>
  <si>
    <t>Midazolan IV</t>
  </si>
  <si>
    <t>Midazolan IN/IM</t>
  </si>
  <si>
    <t>Morfina / Dimorf</t>
  </si>
  <si>
    <t>10mg/ml</t>
  </si>
  <si>
    <t>Narcan / Naloxona</t>
  </si>
  <si>
    <t>0,4mg/ml</t>
  </si>
  <si>
    <t>1 para 3</t>
  </si>
  <si>
    <t>Neostigmina</t>
  </si>
  <si>
    <t>0,5mg/ml</t>
  </si>
  <si>
    <t>0,07mg/Kg</t>
  </si>
  <si>
    <t>Pancurônio / Pavulon</t>
  </si>
  <si>
    <t>Propofol</t>
  </si>
  <si>
    <t>Rocurônio / Esmeron</t>
  </si>
  <si>
    <t>Última atualização por Flávio Valcácer e Tássio Campo em 20/03/2021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</si>
</sst>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$-416]\ #,##0.00;[Red]\-[$R$-416]\ #,##0.00"/>
    <numFmt numFmtId="165" formatCode="0.0"/>
  </numFmts>
  <fonts count="29" x14ac:knownFonts="1">
    <font>
      <sz val="11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CC0000"/>
      <name val="Calibri"/>
      <family val="2"/>
      <charset val="1"/>
    </font>
    <font>
      <b/>
      <sz val="10"/>
      <color rgb="FFFFFFFF"/>
      <name val="Calibri"/>
      <family val="2"/>
      <charset val="1"/>
    </font>
    <font>
      <i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b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u/>
      <sz val="10"/>
      <color rgb="FF0000EE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333333"/>
      <name val="Calibri"/>
      <family val="2"/>
      <charset val="1"/>
    </font>
    <font>
      <b/>
      <i/>
      <u/>
      <sz val="11"/>
      <color rgb="FF000000"/>
      <name val="Calibri"/>
      <family val="2"/>
      <charset val="1"/>
    </font>
    <font>
      <b/>
      <i/>
      <sz val="16"/>
      <color rgb="FF000000"/>
      <name val="Calibri"/>
      <family val="2"/>
      <charset val="1"/>
    </font>
    <font>
      <b/>
      <u/>
      <sz val="22"/>
      <color rgb="FFBF0041"/>
      <name val="Calibri"/>
      <family val="2"/>
      <charset val="1"/>
    </font>
    <font>
      <b/>
      <sz val="16"/>
      <color rgb="FF000000"/>
      <name val="Liberation Sans1"/>
      <charset val="1"/>
    </font>
    <font>
      <b/>
      <sz val="10"/>
      <color rgb="FF000000"/>
      <name val="Liberation Sans1"/>
      <charset val="1"/>
    </font>
    <font>
      <sz val="10"/>
      <color rgb="FF000000"/>
      <name val="Liberation Sans1"/>
      <charset val="1"/>
    </font>
    <font>
      <sz val="10"/>
      <color rgb="FF000000"/>
      <name val="Arial"/>
      <charset val="1"/>
    </font>
    <font>
      <sz val="11"/>
      <color rgb="FFFFFFFF"/>
      <name val="Calibri"/>
      <family val="2"/>
      <charset val="1"/>
    </font>
    <font>
      <sz val="10"/>
      <color rgb="FFFFFFFF"/>
      <name val="Arial"/>
      <charset val="1"/>
    </font>
    <font>
      <sz val="11"/>
      <color rgb="FF201F1E"/>
      <name val="Segoe UI"/>
      <family val="2"/>
      <charset val="1"/>
    </font>
    <font>
      <sz val="10"/>
      <color rgb="FFFFFFFF"/>
      <name val="Liberation Sans1"/>
      <charset val="1"/>
    </font>
    <font>
      <b/>
      <sz val="10"/>
      <color rgb="FF000000"/>
      <name val="Arial"/>
      <family val="2"/>
      <charset val="1"/>
    </font>
    <font>
      <b/>
      <sz val="12"/>
      <color rgb="FF000000"/>
      <name val="Liberation Sans1"/>
      <charset val="1"/>
    </font>
    <font>
      <sz val="10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000000"/>
        <bgColor rgb="FF201F1E"/>
      </patternFill>
    </fill>
    <fill>
      <patternFill patternType="solid">
        <fgColor rgb="FF808080"/>
        <bgColor rgb="FF5983B0"/>
      </patternFill>
    </fill>
    <fill>
      <patternFill patternType="solid">
        <fgColor rgb="FFDDDDDD"/>
        <bgColor rgb="FFDDE8CB"/>
      </patternFill>
    </fill>
    <fill>
      <patternFill patternType="solid">
        <fgColor rgb="FFFFCCCC"/>
        <bgColor rgb="FFF7D1D5"/>
      </patternFill>
    </fill>
    <fill>
      <patternFill patternType="solid">
        <fgColor rgb="FFCC0000"/>
        <bgColor rgb="FFBF0041"/>
      </patternFill>
    </fill>
    <fill>
      <patternFill patternType="solid">
        <fgColor rgb="FFCCFFCC"/>
        <bgColor rgb="FFE0EFD4"/>
      </patternFill>
    </fill>
    <fill>
      <patternFill patternType="solid">
        <fgColor rgb="FFFFFFCC"/>
        <bgColor rgb="FFFFFFFF"/>
      </patternFill>
    </fill>
    <fill>
      <patternFill patternType="solid">
        <fgColor rgb="FFB2B2B2"/>
        <bgColor rgb="FFB4C7DC"/>
      </patternFill>
    </fill>
    <fill>
      <patternFill patternType="solid">
        <fgColor rgb="FFFFFFFF"/>
        <bgColor rgb="FFFFFFCC"/>
      </patternFill>
    </fill>
    <fill>
      <patternFill patternType="solid">
        <fgColor rgb="FFADC5E7"/>
        <bgColor rgb="FFB4C7DC"/>
      </patternFill>
    </fill>
    <fill>
      <patternFill patternType="solid">
        <fgColor rgb="FFE8F2A1"/>
        <bgColor rgb="FFDDE8CB"/>
      </patternFill>
    </fill>
    <fill>
      <patternFill patternType="solid">
        <fgColor rgb="FFB4C7DC"/>
        <bgColor rgb="FFADC5E7"/>
      </patternFill>
    </fill>
    <fill>
      <patternFill patternType="solid">
        <fgColor rgb="FFE0EFD4"/>
        <bgColor rgb="FFDDE8CB"/>
      </patternFill>
    </fill>
    <fill>
      <patternFill patternType="solid">
        <fgColor rgb="FFF7D1D5"/>
        <bgColor rgb="FFFCD4D1"/>
      </patternFill>
    </fill>
    <fill>
      <patternFill patternType="solid">
        <fgColor rgb="FFDDE8CB"/>
        <bgColor rgb="FFE0EFD4"/>
      </patternFill>
    </fill>
    <fill>
      <patternFill patternType="solid">
        <fgColor rgb="FFEEEEEE"/>
        <bgColor rgb="FFE0EFD4"/>
      </patternFill>
    </fill>
    <fill>
      <patternFill patternType="solid">
        <fgColor rgb="FFFCD4D1"/>
        <bgColor rgb="FFF7D1D5"/>
      </patternFill>
    </fill>
    <fill>
      <patternFill patternType="solid">
        <fgColor rgb="FF5983B0"/>
        <bgColor rgb="FF808080"/>
      </patternFill>
    </fill>
    <fill>
      <patternFill patternType="solid">
        <fgColor rgb="FF3465A4"/>
        <bgColor rgb="FF5983B0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2">
    <xf numFmtId="0" fontId="0" fillId="0" borderId="0"/>
    <xf numFmtId="0" fontId="1" fillId="2" borderId="0"/>
    <xf numFmtId="0" fontId="1" fillId="2" borderId="0" applyBorder="0" applyProtection="0"/>
    <xf numFmtId="0" fontId="1" fillId="3" borderId="0"/>
    <xf numFmtId="0" fontId="1" fillId="3" borderId="0" applyBorder="0" applyProtection="0"/>
    <xf numFmtId="0" fontId="2" fillId="4" borderId="0"/>
    <xf numFmtId="0" fontId="2" fillId="4" borderId="0" applyBorder="0" applyProtection="0"/>
    <xf numFmtId="0" fontId="2" fillId="0" borderId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4" fillId="6" borderId="0"/>
    <xf numFmtId="0" fontId="5" fillId="0" borderId="0" applyBorder="0" applyProtection="0"/>
    <xf numFmtId="0" fontId="5" fillId="0" borderId="0"/>
    <xf numFmtId="0" fontId="6" fillId="7" borderId="0" applyBorder="0" applyProtection="0"/>
    <xf numFmtId="0" fontId="7" fillId="0" borderId="0"/>
    <xf numFmtId="0" fontId="8" fillId="0" borderId="0" applyBorder="0" applyProtection="0"/>
    <xf numFmtId="0" fontId="9" fillId="0" borderId="0" applyBorder="0" applyProtection="0"/>
    <xf numFmtId="0" fontId="10" fillId="0" borderId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164" fontId="13" fillId="0" borderId="0" applyBorder="0" applyProtection="0"/>
    <xf numFmtId="0" fontId="28" fillId="0" borderId="0"/>
    <xf numFmtId="0" fontId="28" fillId="0" borderId="0" applyBorder="0" applyProtection="0"/>
    <xf numFmtId="0" fontId="28" fillId="0" borderId="0"/>
    <xf numFmtId="0" fontId="28" fillId="0" borderId="0" applyBorder="0" applyProtection="0"/>
    <xf numFmtId="0" fontId="14" fillId="0" borderId="0" applyBorder="0" applyProtection="0">
      <alignment horizontal="center"/>
    </xf>
    <xf numFmtId="0" fontId="14" fillId="0" borderId="0" applyBorder="0" applyProtection="0">
      <alignment horizontal="center" textRotation="90"/>
    </xf>
    <xf numFmtId="0" fontId="3" fillId="0" borderId="0"/>
    <xf numFmtId="0" fontId="3" fillId="0" borderId="0" applyBorder="0" applyProtection="0"/>
  </cellStyleXfs>
  <cellXfs count="61">
    <xf numFmtId="0" fontId="0" fillId="0" borderId="0" xfId="0"/>
    <xf numFmtId="0" fontId="0" fillId="9" borderId="0" xfId="0" applyFill="1"/>
    <xf numFmtId="0" fontId="0" fillId="9" borderId="0" xfId="0" applyFill="1" applyBorder="1"/>
    <xf numFmtId="0" fontId="17" fillId="11" borderId="2" xfId="0" applyFont="1" applyFill="1" applyBorder="1"/>
    <xf numFmtId="0" fontId="17" fillId="12" borderId="2" xfId="0" applyFont="1" applyFill="1" applyBorder="1" applyAlignment="1">
      <alignment horizontal="center"/>
    </xf>
    <xf numFmtId="2" fontId="18" fillId="12" borderId="2" xfId="0" applyNumberFormat="1" applyFont="1" applyFill="1" applyBorder="1"/>
    <xf numFmtId="0" fontId="17" fillId="13" borderId="2" xfId="0" applyFont="1" applyFill="1" applyBorder="1" applyAlignment="1">
      <alignment horizontal="center" vertical="center"/>
    </xf>
    <xf numFmtId="0" fontId="20" fillId="0" borderId="0" xfId="0" applyFont="1"/>
    <xf numFmtId="2" fontId="21" fillId="0" borderId="0" xfId="0" applyNumberFormat="1" applyFont="1"/>
    <xf numFmtId="0" fontId="17" fillId="14" borderId="2" xfId="0" applyFont="1" applyFill="1" applyBorder="1"/>
    <xf numFmtId="0" fontId="18" fillId="14" borderId="2" xfId="0" applyFont="1" applyFill="1" applyBorder="1"/>
    <xf numFmtId="0" fontId="17" fillId="15" borderId="2" xfId="0" applyFont="1" applyFill="1" applyBorder="1" applyAlignment="1">
      <alignment horizontal="center" vertical="center"/>
    </xf>
    <xf numFmtId="0" fontId="22" fillId="15" borderId="2" xfId="0" applyFont="1" applyFill="1" applyBorder="1"/>
    <xf numFmtId="0" fontId="17" fillId="16" borderId="2" xfId="0" applyFont="1" applyFill="1" applyBorder="1" applyAlignment="1">
      <alignment horizontal="center" vertical="center"/>
    </xf>
    <xf numFmtId="2" fontId="23" fillId="0" borderId="0" xfId="0" applyNumberFormat="1" applyFont="1"/>
    <xf numFmtId="0" fontId="17" fillId="17" borderId="2" xfId="0" applyFont="1" applyFill="1" applyBorder="1"/>
    <xf numFmtId="0" fontId="18" fillId="17" borderId="2" xfId="0" applyFont="1" applyFill="1" applyBorder="1"/>
    <xf numFmtId="0" fontId="17" fillId="18" borderId="2" xfId="0" applyFont="1" applyFill="1" applyBorder="1"/>
    <xf numFmtId="0" fontId="18" fillId="18" borderId="2" xfId="0" applyFont="1" applyFill="1" applyBorder="1"/>
    <xf numFmtId="0" fontId="18" fillId="0" borderId="2" xfId="0" applyFont="1" applyBorder="1"/>
    <xf numFmtId="2" fontId="18" fillId="0" borderId="2" xfId="0" applyNumberFormat="1" applyFont="1" applyBorder="1"/>
    <xf numFmtId="0" fontId="18" fillId="0" borderId="0" xfId="0" applyFont="1"/>
    <xf numFmtId="0" fontId="22" fillId="0" borderId="0" xfId="0" applyFont="1"/>
    <xf numFmtId="0" fontId="24" fillId="19" borderId="3" xfId="0" applyFont="1" applyFill="1" applyBorder="1"/>
    <xf numFmtId="0" fontId="24" fillId="20" borderId="3" xfId="0" applyFont="1" applyFill="1" applyBorder="1"/>
    <xf numFmtId="0" fontId="0" fillId="20" borderId="0" xfId="0" applyFill="1"/>
    <xf numFmtId="0" fontId="17" fillId="20" borderId="4" xfId="0" applyFont="1" applyFill="1" applyBorder="1" applyAlignment="1">
      <alignment horizontal="center"/>
    </xf>
    <xf numFmtId="0" fontId="17" fillId="20" borderId="0" xfId="0" applyFont="1" applyFill="1"/>
    <xf numFmtId="0" fontId="24" fillId="0" borderId="3" xfId="0" applyFont="1" applyBorder="1"/>
    <xf numFmtId="0" fontId="18" fillId="0" borderId="3" xfId="0" applyFont="1" applyBorder="1" applyAlignment="1">
      <alignment horizontal="right"/>
    </xf>
    <xf numFmtId="165" fontId="25" fillId="0" borderId="3" xfId="0" applyNumberFormat="1" applyFont="1" applyBorder="1" applyAlignment="1">
      <alignment horizontal="right"/>
    </xf>
    <xf numFmtId="0" fontId="26" fillId="0" borderId="3" xfId="0" applyFont="1" applyBorder="1"/>
    <xf numFmtId="0" fontId="18" fillId="0" borderId="3" xfId="0" applyFont="1" applyBorder="1" applyAlignment="1">
      <alignment horizontal="center"/>
    </xf>
    <xf numFmtId="1" fontId="18" fillId="0" borderId="3" xfId="0" applyNumberFormat="1" applyFont="1" applyBorder="1"/>
    <xf numFmtId="0" fontId="24" fillId="13" borderId="3" xfId="0" applyFont="1" applyFill="1" applyBorder="1"/>
    <xf numFmtId="0" fontId="18" fillId="13" borderId="3" xfId="0" applyFont="1" applyFill="1" applyBorder="1" applyAlignment="1">
      <alignment horizontal="right"/>
    </xf>
    <xf numFmtId="165" fontId="25" fillId="13" borderId="3" xfId="0" applyNumberFormat="1" applyFont="1" applyFill="1" applyBorder="1" applyAlignment="1">
      <alignment horizontal="right"/>
    </xf>
    <xf numFmtId="0" fontId="0" fillId="13" borderId="0" xfId="0" applyFill="1"/>
    <xf numFmtId="0" fontId="26" fillId="13" borderId="3" xfId="0" applyFont="1" applyFill="1" applyBorder="1"/>
    <xf numFmtId="0" fontId="18" fillId="13" borderId="3" xfId="0" applyFont="1" applyFill="1" applyBorder="1" applyAlignment="1">
      <alignment horizontal="center"/>
    </xf>
    <xf numFmtId="1" fontId="18" fillId="13" borderId="3" xfId="0" applyNumberFormat="1" applyFont="1" applyFill="1" applyBorder="1"/>
    <xf numFmtId="0" fontId="24" fillId="10" borderId="3" xfId="0" applyFont="1" applyFill="1" applyBorder="1"/>
    <xf numFmtId="0" fontId="18" fillId="10" borderId="3" xfId="0" applyFont="1" applyFill="1" applyBorder="1" applyAlignment="1">
      <alignment horizontal="right"/>
    </xf>
    <xf numFmtId="165" fontId="25" fillId="10" borderId="3" xfId="0" applyNumberFormat="1" applyFont="1" applyFill="1" applyBorder="1" applyAlignment="1">
      <alignment horizontal="right"/>
    </xf>
    <xf numFmtId="0" fontId="27" fillId="0" borderId="0" xfId="0" applyFont="1"/>
    <xf numFmtId="0" fontId="27" fillId="13" borderId="0" xfId="0" applyFont="1" applyFill="1"/>
    <xf numFmtId="0" fontId="0" fillId="9" borderId="0" xfId="0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15" fillId="9" borderId="0" xfId="0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8" fillId="10" borderId="3" xfId="0" applyFont="1" applyFill="1" applyBorder="1" applyAlignment="1">
      <alignment horizontal="right"/>
    </xf>
    <xf numFmtId="0" fontId="18" fillId="13" borderId="3" xfId="0" applyFont="1" applyFill="1" applyBorder="1" applyAlignment="1">
      <alignment horizontal="right"/>
    </xf>
    <xf numFmtId="0" fontId="18" fillId="0" borderId="3" xfId="0" applyFont="1" applyBorder="1" applyAlignment="1">
      <alignment horizontal="right"/>
    </xf>
    <xf numFmtId="0" fontId="27" fillId="20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0" fillId="11" borderId="2" xfId="0" applyFill="1" applyBorder="1"/>
    <xf numFmtId="2" fontId="19" fillId="13" borderId="2" xfId="0" applyNumberFormat="1" applyFont="1" applyFill="1" applyBorder="1" applyAlignment="1">
      <alignment horizontal="center" vertical="center"/>
    </xf>
    <xf numFmtId="2" fontId="18" fillId="16" borderId="2" xfId="0" applyNumberFormat="1" applyFont="1" applyFill="1" applyBorder="1" applyAlignment="1">
      <alignment horizontal="center" vertical="center"/>
    </xf>
    <xf numFmtId="0" fontId="24" fillId="19" borderId="3" xfId="0" applyFont="1" applyFill="1" applyBorder="1" applyAlignment="1"/>
  </cellXfs>
  <cellStyles count="32">
    <cellStyle name="Accent 1 5" xfId="1" xr:uid="{00000000-0005-0000-0000-000006000000}"/>
    <cellStyle name="Accent 1 6" xfId="2" xr:uid="{00000000-0005-0000-0000-000007000000}"/>
    <cellStyle name="Accent 2 6" xfId="3" xr:uid="{00000000-0005-0000-0000-000008000000}"/>
    <cellStyle name="Accent 2 7" xfId="4" xr:uid="{00000000-0005-0000-0000-000009000000}"/>
    <cellStyle name="Accent 3 7" xfId="5" xr:uid="{00000000-0005-0000-0000-00000A000000}"/>
    <cellStyle name="Accent 3 8" xfId="6" xr:uid="{00000000-0005-0000-0000-00000B000000}"/>
    <cellStyle name="Accent 4" xfId="7" xr:uid="{00000000-0005-0000-0000-00000C000000}"/>
    <cellStyle name="Accent 5" xfId="8" xr:uid="{00000000-0005-0000-0000-00000D000000}"/>
    <cellStyle name="Bad 9" xfId="9" xr:uid="{00000000-0005-0000-0000-00000E000000}"/>
    <cellStyle name="Error 10" xfId="10" xr:uid="{00000000-0005-0000-0000-00000F000000}"/>
    <cellStyle name="Error 8" xfId="11" xr:uid="{00000000-0005-0000-0000-000010000000}"/>
    <cellStyle name="Footnote 11" xfId="12" xr:uid="{00000000-0005-0000-0000-000011000000}"/>
    <cellStyle name="Footnote 9" xfId="13" xr:uid="{00000000-0005-0000-0000-000012000000}"/>
    <cellStyle name="Good 12" xfId="14" xr:uid="{00000000-0005-0000-0000-000013000000}"/>
    <cellStyle name="Heading (user) 10" xfId="15" xr:uid="{00000000-0005-0000-0000-000014000000}"/>
    <cellStyle name="Heading 1 13" xfId="16" xr:uid="{00000000-0005-0000-0000-000015000000}"/>
    <cellStyle name="Heading 2 14" xfId="17" xr:uid="{00000000-0005-0000-0000-000016000000}"/>
    <cellStyle name="Hyperlink 11" xfId="18" xr:uid="{00000000-0005-0000-0000-000017000000}"/>
    <cellStyle name="Hyperlink 15" xfId="19" xr:uid="{00000000-0005-0000-0000-000018000000}"/>
    <cellStyle name="Neutral 16" xfId="20" xr:uid="{00000000-0005-0000-0000-000019000000}"/>
    <cellStyle name="Normal" xfId="0" builtinId="0"/>
    <cellStyle name="Note 17" xfId="21" xr:uid="{00000000-0005-0000-0000-00001A000000}"/>
    <cellStyle name="Resultado" xfId="22" xr:uid="{00000000-0005-0000-0000-00001B000000}"/>
    <cellStyle name="Resultado2" xfId="23" xr:uid="{00000000-0005-0000-0000-00001C000000}"/>
    <cellStyle name="Status 12" xfId="24" xr:uid="{00000000-0005-0000-0000-00001D000000}"/>
    <cellStyle name="Status 18" xfId="25" xr:uid="{00000000-0005-0000-0000-00001E000000}"/>
    <cellStyle name="Text 13" xfId="26" xr:uid="{00000000-0005-0000-0000-00001F000000}"/>
    <cellStyle name="Text 19" xfId="27" xr:uid="{00000000-0005-0000-0000-000020000000}"/>
    <cellStyle name="Título" xfId="28" xr:uid="{00000000-0005-0000-0000-000021000000}"/>
    <cellStyle name="Título1" xfId="29" xr:uid="{00000000-0005-0000-0000-000022000000}"/>
    <cellStyle name="Warning 14" xfId="30" xr:uid="{00000000-0005-0000-0000-000023000000}"/>
    <cellStyle name="Warning 20" xfId="31" xr:uid="{00000000-0005-0000-0000-000024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DDE8CB"/>
      <rgbColor rgb="FFFF00FF"/>
      <rgbColor rgb="FF00FFFF"/>
      <rgbColor rgb="FF800000"/>
      <rgbColor rgb="FF006600"/>
      <rgbColor rgb="FF000080"/>
      <rgbColor rgb="FF996600"/>
      <rgbColor rgb="FFBF0041"/>
      <rgbColor rgb="FF008080"/>
      <rgbColor rgb="FFB4C7DC"/>
      <rgbColor rgb="FF808080"/>
      <rgbColor rgb="FF9999FF"/>
      <rgbColor rgb="FF993366"/>
      <rgbColor rgb="FFFFFFCC"/>
      <rgbColor rgb="FFE0EFD4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CCFFCC"/>
      <rgbColor rgb="FFE8F2A1"/>
      <rgbColor rgb="FFADC5E7"/>
      <rgbColor rgb="FFF7D1D5"/>
      <rgbColor rgb="FFFCD4D1"/>
      <rgbColor rgb="FFFFCCCC"/>
      <rgbColor rgb="FF3465A4"/>
      <rgbColor rgb="FF33CCCC"/>
      <rgbColor rgb="FF99CC00"/>
      <rgbColor rgb="FFFFCC00"/>
      <rgbColor rgb="FFFF9900"/>
      <rgbColor rgb="FFFF6600"/>
      <rgbColor rgb="FF5983B0"/>
      <rgbColor rgb="FFB2B2B2"/>
      <rgbColor rgb="FF003366"/>
      <rgbColor rgb="FF339966"/>
      <rgbColor rgb="FF003300"/>
      <rgbColor rgb="FF201F1E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1371240</xdr:colOff>
      <xdr:row>23</xdr:row>
      <xdr:rowOff>163080</xdr:rowOff>
    </xdr:from>
    <xdr:to>
      <xdr:col>3</xdr:col>
      <xdr:colOff>286200</xdr:colOff>
      <xdr:row>34</xdr:row>
      <xdr:rowOff>110520</xdr:rowOff>
    </xdr:to>
    <xdr:pic>
      <xdr:nvPicPr>
        <xdr:cNvPr id="2" name="Figura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225160" y="4544280"/>
          <a:ext cx="1297440" cy="20430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9"/>
  <sheetViews>
    <sheetView topLeftCell="A3" zoomScale="80" zoomScaleNormal="80" workbookViewId="0">
      <selection activeCell="C13" sqref="C13"/>
    </sheetView>
  </sheetViews>
  <sheetFormatPr defaultRowHeight="15" x14ac:dyDescent="0.2"/>
  <cols>
    <col min="1" max="1" width="12.10546875" customWidth="1"/>
    <col min="2" max="2" width="25.15234375" customWidth="1"/>
    <col min="3" max="1025" width="8.609375" customWidth="1"/>
  </cols>
  <sheetData>
    <row r="1" spans="1:20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">
      <c r="A3" s="49" t="s">
        <v>0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1"/>
      <c r="M3" s="1"/>
      <c r="N3" s="1"/>
      <c r="O3" s="1"/>
      <c r="P3" s="1"/>
      <c r="Q3" s="1"/>
      <c r="R3" s="1"/>
      <c r="S3" s="1"/>
      <c r="T3" s="1"/>
    </row>
    <row r="4" spans="1:20" x14ac:dyDescent="0.2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1"/>
      <c r="M5" s="1"/>
      <c r="N5" s="1"/>
      <c r="O5" s="1"/>
      <c r="P5" s="1"/>
      <c r="Q5" s="1"/>
      <c r="R5" s="1"/>
      <c r="S5" s="1"/>
      <c r="T5" s="1"/>
    </row>
    <row r="6" spans="1:20" x14ac:dyDescent="0.2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1"/>
      <c r="M6" s="1"/>
      <c r="N6" s="1"/>
      <c r="O6" s="1"/>
      <c r="P6" s="1"/>
      <c r="Q6" s="1"/>
      <c r="R6" s="1"/>
      <c r="S6" s="1"/>
      <c r="T6" s="1"/>
    </row>
    <row r="7" spans="1:20" x14ac:dyDescent="0.2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1"/>
      <c r="M7" s="1"/>
      <c r="N7" s="1"/>
      <c r="O7" s="1"/>
      <c r="P7" s="1"/>
      <c r="Q7" s="1"/>
      <c r="R7" s="1"/>
      <c r="S7" s="1"/>
      <c r="T7" s="1"/>
    </row>
    <row r="8" spans="1:20" x14ac:dyDescent="0.2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1"/>
      <c r="M8" s="1"/>
      <c r="N8" s="1"/>
      <c r="O8" s="1"/>
      <c r="P8" s="1"/>
      <c r="Q8" s="1"/>
      <c r="R8" s="1"/>
      <c r="S8" s="1"/>
      <c r="T8" s="1"/>
    </row>
    <row r="9" spans="1:20" x14ac:dyDescent="0.2">
      <c r="A9" s="1"/>
      <c r="B9" s="47" t="s">
        <v>1</v>
      </c>
      <c r="C9" s="50" t="s">
        <v>2</v>
      </c>
      <c r="D9" s="50"/>
      <c r="E9" s="50"/>
      <c r="F9" s="50"/>
      <c r="G9" s="50"/>
      <c r="H9" s="50"/>
      <c r="I9" s="50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2">
      <c r="A10" s="1"/>
      <c r="B10" s="47"/>
      <c r="C10" s="47"/>
      <c r="D10" s="50"/>
      <c r="E10" s="50"/>
      <c r="F10" s="50"/>
      <c r="G10" s="50"/>
      <c r="H10" s="50"/>
      <c r="I10" s="50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">
      <c r="A11" s="1"/>
      <c r="B11" s="47" t="s">
        <v>3</v>
      </c>
      <c r="C11" s="48">
        <v>2</v>
      </c>
      <c r="D11" s="47" t="s">
        <v>4</v>
      </c>
      <c r="E11" s="48">
        <v>0</v>
      </c>
      <c r="F11" s="47" t="s">
        <v>5</v>
      </c>
      <c r="G11" s="48">
        <v>0</v>
      </c>
      <c r="H11" s="47" t="s">
        <v>6</v>
      </c>
      <c r="I11" s="4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2">
      <c r="A12" s="1"/>
      <c r="B12" s="47"/>
      <c r="C12" s="47"/>
      <c r="D12" s="47"/>
      <c r="E12" s="47"/>
      <c r="F12" s="47"/>
      <c r="G12" s="47"/>
      <c r="H12" s="47"/>
      <c r="I12" s="4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">
      <c r="A13" s="1"/>
      <c r="B13" s="47" t="s">
        <v>7</v>
      </c>
      <c r="C13" s="48">
        <v>16</v>
      </c>
      <c r="D13" s="1"/>
      <c r="E13" s="46"/>
      <c r="F13" s="2"/>
      <c r="G13" s="2"/>
      <c r="H13" s="2"/>
      <c r="I13" s="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2">
      <c r="A14" s="1"/>
      <c r="B14" s="47"/>
      <c r="C14" s="47"/>
      <c r="D14" s="1"/>
      <c r="E14" s="46"/>
      <c r="F14" s="2"/>
      <c r="G14" s="2"/>
      <c r="H14" s="2"/>
      <c r="I14" s="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2">
      <c r="A15" s="1"/>
      <c r="B15" s="47" t="s">
        <v>8</v>
      </c>
      <c r="C15" s="48"/>
      <c r="D15" s="1"/>
      <c r="E15" s="1"/>
      <c r="F15" s="46"/>
      <c r="G15" s="2"/>
      <c r="H15" s="2"/>
      <c r="I15" s="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2">
      <c r="A16" s="1"/>
      <c r="B16" s="47"/>
      <c r="C16" s="47"/>
      <c r="D16" s="1"/>
      <c r="E16" s="1"/>
      <c r="F16" s="46"/>
      <c r="G16" s="2"/>
      <c r="H16" s="2"/>
      <c r="I16" s="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">
      <c r="A20" s="1"/>
      <c r="B20" s="1" t="s">
        <v>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</sheetData>
  <mergeCells count="17">
    <mergeCell ref="A3:K8"/>
    <mergeCell ref="B9:B10"/>
    <mergeCell ref="C9:I10"/>
    <mergeCell ref="B11:B12"/>
    <mergeCell ref="C11:C12"/>
    <mergeCell ref="D11:D12"/>
    <mergeCell ref="E11:E12"/>
    <mergeCell ref="F11:F12"/>
    <mergeCell ref="G11:G12"/>
    <mergeCell ref="H11:H12"/>
    <mergeCell ref="I11:I12"/>
    <mergeCell ref="F15:F16"/>
    <mergeCell ref="B13:B14"/>
    <mergeCell ref="C13:C14"/>
    <mergeCell ref="E13:E14"/>
    <mergeCell ref="B15:B16"/>
    <mergeCell ref="C15:C16"/>
  </mergeCells>
  <pageMargins left="0" right="0" top="0.39374999999999999" bottom="0.39374999999999999" header="0" footer="0"/>
  <pageSetup paperSize="9" firstPageNumber="0" pageOrder="overThenDown" orientation="portrait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4"/>
  <sheetViews>
    <sheetView tabSelected="1" zoomScale="80" zoomScaleNormal="80" workbookViewId="0">
      <selection activeCell="H16" sqref="H16"/>
    </sheetView>
  </sheetViews>
  <sheetFormatPr defaultRowHeight="15" x14ac:dyDescent="0.2"/>
  <cols>
    <col min="1" max="1" width="21.5234375" customWidth="1"/>
    <col min="2" max="2" width="6.05078125" customWidth="1"/>
    <col min="3" max="3" width="5.6484375" customWidth="1"/>
    <col min="4" max="4" width="8.203125" customWidth="1"/>
    <col min="5" max="5" width="3.49609375" customWidth="1"/>
    <col min="6" max="6" width="7.3984375" customWidth="1"/>
    <col min="7" max="7" width="2.95703125" customWidth="1"/>
    <col min="8" max="8" width="9.55078125" customWidth="1"/>
    <col min="9" max="9" width="10.0859375" customWidth="1"/>
    <col min="10" max="10" width="12.10546875" customWidth="1"/>
    <col min="11" max="11" width="1.74609375" customWidth="1"/>
    <col min="12" max="12" width="18.5625" customWidth="1"/>
    <col min="13" max="13" width="9.953125" customWidth="1"/>
    <col min="14" max="14" width="6.1875" customWidth="1"/>
    <col min="15" max="1020" width="9.14453125" customWidth="1"/>
    <col min="1021" max="1025" width="11.56640625" customWidth="1"/>
  </cols>
  <sheetData>
    <row r="1" spans="1:15" ht="20.25" x14ac:dyDescent="0.2">
      <c r="A1" s="56" t="s">
        <v>10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pans="1:15" x14ac:dyDescent="0.2">
      <c r="A2" s="3" t="s">
        <v>11</v>
      </c>
      <c r="B2" s="57" t="str">
        <f>IDENTIFICAÇÃO!C9</f>
        <v>DAVI LUCAS</v>
      </c>
      <c r="C2" s="57"/>
      <c r="D2" s="57"/>
      <c r="E2" s="57"/>
      <c r="F2" s="57"/>
      <c r="G2" s="57"/>
      <c r="H2" s="4" t="s">
        <v>12</v>
      </c>
      <c r="I2" s="5">
        <f>($B$4*4+7)/(90+$B$4)</f>
        <v>0.66981132075471694</v>
      </c>
      <c r="J2" s="6" t="s">
        <v>13</v>
      </c>
      <c r="K2" s="58" t="str">
        <f>IF(O2=1,_xlfn.CONCAT(O2,M2),_xlfn.CONCAT(O2,N2))</f>
        <v>2 Reta ou Curva</v>
      </c>
      <c r="L2" s="58"/>
      <c r="M2" s="7" t="s">
        <v>14</v>
      </c>
      <c r="N2" s="7" t="s">
        <v>15</v>
      </c>
      <c r="O2" s="8">
        <f>IF($B$4&gt;29,3,IF($B$4&gt;11,2,1))</f>
        <v>2</v>
      </c>
    </row>
    <row r="3" spans="1:15" ht="16.5" x14ac:dyDescent="0.25">
      <c r="A3" s="9" t="s">
        <v>16</v>
      </c>
      <c r="B3" s="10">
        <f>IDENTIFICAÇÃO!C11</f>
        <v>2</v>
      </c>
      <c r="C3" s="10" t="s">
        <v>17</v>
      </c>
      <c r="D3" s="10">
        <f>IDENTIFICAÇÃO!E11</f>
        <v>0</v>
      </c>
      <c r="E3" s="10" t="s">
        <v>18</v>
      </c>
      <c r="F3" s="10">
        <f>IDENTIFICAÇÃO!G11</f>
        <v>0</v>
      </c>
      <c r="G3" s="10" t="s">
        <v>19</v>
      </c>
      <c r="H3" s="11" t="s">
        <v>20</v>
      </c>
      <c r="I3" s="12">
        <f>IF($B$4&gt;20,15+(($B$4-20)/5),IF($B$4&gt;10,10+(($B$4-10)/2),$B$4))</f>
        <v>13</v>
      </c>
      <c r="J3" s="13" t="s">
        <v>21</v>
      </c>
      <c r="K3" s="59">
        <f>MROUND(N3,0.5)</f>
        <v>4</v>
      </c>
      <c r="L3" s="59"/>
      <c r="M3" s="7"/>
      <c r="N3" s="7">
        <f>($B$3/4+3.5)</f>
        <v>4</v>
      </c>
      <c r="O3" s="14"/>
    </row>
    <row r="4" spans="1:15" x14ac:dyDescent="0.2">
      <c r="A4" s="15" t="s">
        <v>22</v>
      </c>
      <c r="B4" s="16">
        <f>IDENTIFICAÇÃO!C13</f>
        <v>16</v>
      </c>
      <c r="C4" s="16" t="s">
        <v>23</v>
      </c>
      <c r="D4" s="17" t="s">
        <v>24</v>
      </c>
      <c r="E4" s="18">
        <f>IDENTIFICAÇÃO!C15</f>
        <v>0</v>
      </c>
      <c r="F4" s="18" t="s">
        <v>25</v>
      </c>
      <c r="G4" s="19"/>
      <c r="H4" s="19"/>
      <c r="I4" s="20"/>
      <c r="J4" s="20"/>
      <c r="K4" s="20"/>
      <c r="L4" s="20"/>
    </row>
    <row r="5" spans="1:15" ht="16.5" x14ac:dyDescent="0.25">
      <c r="A5" s="21"/>
      <c r="B5" s="21"/>
      <c r="C5" s="21"/>
      <c r="D5" s="21"/>
      <c r="E5" s="21"/>
      <c r="F5" s="21"/>
      <c r="G5" s="21"/>
      <c r="H5" s="21"/>
      <c r="I5" s="22"/>
      <c r="J5" s="21"/>
    </row>
    <row r="6" spans="1:15" x14ac:dyDescent="0.2">
      <c r="A6" s="23" t="s">
        <v>26</v>
      </c>
      <c r="B6" s="60" t="s">
        <v>27</v>
      </c>
      <c r="C6" s="60"/>
      <c r="D6" s="60" t="s">
        <v>28</v>
      </c>
      <c r="E6" s="60"/>
      <c r="F6" s="60" t="s">
        <v>29</v>
      </c>
      <c r="G6" s="60"/>
      <c r="H6" s="23" t="s">
        <v>30</v>
      </c>
      <c r="I6" s="23" t="s">
        <v>31</v>
      </c>
      <c r="J6" s="24" t="s">
        <v>32</v>
      </c>
      <c r="K6" s="25"/>
      <c r="L6" s="25"/>
      <c r="M6" s="26" t="s">
        <v>33</v>
      </c>
      <c r="N6" s="26" t="s">
        <v>34</v>
      </c>
      <c r="O6" s="27" t="s">
        <v>35</v>
      </c>
    </row>
    <row r="7" spans="1:15" x14ac:dyDescent="0.2">
      <c r="A7" s="28" t="s">
        <v>36</v>
      </c>
      <c r="B7" s="54" t="s">
        <v>37</v>
      </c>
      <c r="C7" s="54"/>
      <c r="D7" s="54" t="s">
        <v>38</v>
      </c>
      <c r="E7" s="54"/>
      <c r="F7" s="54" t="s">
        <v>39</v>
      </c>
      <c r="G7" s="54"/>
      <c r="H7" s="29" t="s">
        <v>40</v>
      </c>
      <c r="I7" s="30">
        <f>IF($B$3&gt;=12,10,B4*0.1)</f>
        <v>1.6</v>
      </c>
      <c r="J7" s="29">
        <v>10</v>
      </c>
      <c r="L7" s="31" t="s">
        <v>41</v>
      </c>
      <c r="M7" s="32" t="s">
        <v>42</v>
      </c>
      <c r="N7" s="32">
        <v>0.5</v>
      </c>
      <c r="O7" s="33">
        <f>IF($B$4*0.5&gt;=200,200,$B$4*0.5)</f>
        <v>8</v>
      </c>
    </row>
    <row r="8" spans="1:15" x14ac:dyDescent="0.2">
      <c r="A8" s="34" t="s">
        <v>43</v>
      </c>
      <c r="B8" s="53" t="s">
        <v>37</v>
      </c>
      <c r="C8" s="53"/>
      <c r="D8" s="53" t="s">
        <v>38</v>
      </c>
      <c r="E8" s="53"/>
      <c r="F8" s="53" t="s">
        <v>44</v>
      </c>
      <c r="G8" s="53"/>
      <c r="H8" s="35" t="s">
        <v>44</v>
      </c>
      <c r="I8" s="36">
        <f>IF($B$4&gt;=50,J8,0.01*$B$4)</f>
        <v>0.16</v>
      </c>
      <c r="J8" s="35">
        <v>0.5</v>
      </c>
      <c r="K8" s="37"/>
      <c r="L8" s="38" t="s">
        <v>45</v>
      </c>
      <c r="M8" s="39" t="s">
        <v>42</v>
      </c>
      <c r="N8" s="39">
        <v>1</v>
      </c>
      <c r="O8" s="40">
        <f>IF($B$4*1&gt;=200,200,$B$4*1)</f>
        <v>16</v>
      </c>
    </row>
    <row r="9" spans="1:15" x14ac:dyDescent="0.2">
      <c r="A9" s="28" t="s">
        <v>46</v>
      </c>
      <c r="B9" s="54" t="s">
        <v>37</v>
      </c>
      <c r="C9" s="54"/>
      <c r="D9" s="54" t="s">
        <v>47</v>
      </c>
      <c r="E9" s="54"/>
      <c r="F9" s="54" t="s">
        <v>44</v>
      </c>
      <c r="G9" s="54"/>
      <c r="H9" s="29" t="s">
        <v>44</v>
      </c>
      <c r="I9" s="30">
        <f>IF(B4&gt;=25,2.5,0.1*B4)</f>
        <v>1.6</v>
      </c>
      <c r="J9" s="29">
        <v>2.5</v>
      </c>
      <c r="L9" s="31" t="s">
        <v>48</v>
      </c>
      <c r="M9" s="32" t="s">
        <v>42</v>
      </c>
      <c r="N9" s="32">
        <v>2</v>
      </c>
      <c r="O9" s="33">
        <f>IF($B$4*2&gt;=200,200,$B$4*2)</f>
        <v>32</v>
      </c>
    </row>
    <row r="10" spans="1:15" x14ac:dyDescent="0.2">
      <c r="A10" s="34" t="s">
        <v>49</v>
      </c>
      <c r="B10" s="53" t="s">
        <v>50</v>
      </c>
      <c r="C10" s="53"/>
      <c r="D10" s="53" t="s">
        <v>51</v>
      </c>
      <c r="E10" s="53"/>
      <c r="F10" s="53" t="s">
        <v>44</v>
      </c>
      <c r="G10" s="53"/>
      <c r="H10" s="35" t="s">
        <v>44</v>
      </c>
      <c r="I10" s="36">
        <f>IF($B$4&gt;=60,J10,0.033*$B$4)</f>
        <v>0.52800000000000002</v>
      </c>
      <c r="J10" s="35">
        <v>20</v>
      </c>
      <c r="K10" s="37"/>
      <c r="L10" s="38" t="s">
        <v>52</v>
      </c>
      <c r="M10" s="39" t="s">
        <v>42</v>
      </c>
      <c r="N10" s="39">
        <v>2</v>
      </c>
      <c r="O10" s="40">
        <f>IF($B$4*2&gt;=200,200,$B$4*2)</f>
        <v>32</v>
      </c>
    </row>
    <row r="11" spans="1:15" x14ac:dyDescent="0.2">
      <c r="A11" s="28" t="s">
        <v>53</v>
      </c>
      <c r="B11" s="54" t="s">
        <v>50</v>
      </c>
      <c r="C11" s="54"/>
      <c r="D11" s="54" t="s">
        <v>54</v>
      </c>
      <c r="E11" s="54"/>
      <c r="F11" s="54" t="s">
        <v>44</v>
      </c>
      <c r="G11" s="54"/>
      <c r="H11" s="29" t="s">
        <v>44</v>
      </c>
      <c r="I11" s="30">
        <f>IF($B$4&gt;=60,J11,0.066*$B$4)</f>
        <v>1.056</v>
      </c>
      <c r="J11" s="29">
        <v>40</v>
      </c>
      <c r="L11" s="31" t="s">
        <v>55</v>
      </c>
      <c r="M11" s="32" t="s">
        <v>42</v>
      </c>
      <c r="N11" s="32">
        <v>4</v>
      </c>
      <c r="O11" s="33">
        <f>IF($B$4*4&gt;=200,200,$B$4*4)</f>
        <v>64</v>
      </c>
    </row>
    <row r="12" spans="1:15" x14ac:dyDescent="0.2">
      <c r="A12" s="34" t="s">
        <v>56</v>
      </c>
      <c r="B12" s="53" t="s">
        <v>57</v>
      </c>
      <c r="C12" s="53"/>
      <c r="D12" s="53" t="s">
        <v>58</v>
      </c>
      <c r="E12" s="53"/>
      <c r="F12" s="53" t="s">
        <v>44</v>
      </c>
      <c r="G12" s="53"/>
      <c r="H12" s="35" t="s">
        <v>44</v>
      </c>
      <c r="I12" s="36">
        <f>IF($B$4&gt;=60,J12,0.1*$B$4)</f>
        <v>1.6</v>
      </c>
      <c r="J12" s="35">
        <v>6</v>
      </c>
      <c r="K12" s="37"/>
      <c r="L12" s="38" t="s">
        <v>59</v>
      </c>
      <c r="M12" s="39" t="s">
        <v>42</v>
      </c>
      <c r="N12" s="39">
        <v>6</v>
      </c>
      <c r="O12" s="40">
        <f>IF($B$4*6&gt;=200,200,$B$4*6)</f>
        <v>96</v>
      </c>
    </row>
    <row r="13" spans="1:15" x14ac:dyDescent="0.2">
      <c r="A13" s="28" t="s">
        <v>60</v>
      </c>
      <c r="B13" s="54" t="s">
        <v>61</v>
      </c>
      <c r="C13" s="54"/>
      <c r="D13" s="54" t="s">
        <v>62</v>
      </c>
      <c r="E13" s="54"/>
      <c r="F13" s="54" t="s">
        <v>44</v>
      </c>
      <c r="G13" s="54"/>
      <c r="H13" s="29" t="s">
        <v>44</v>
      </c>
      <c r="I13" s="30">
        <f>IF($B$4&gt;=20,J13,0.1*$B$4)</f>
        <v>1.6</v>
      </c>
      <c r="J13" s="29">
        <v>2</v>
      </c>
      <c r="L13" s="31" t="s">
        <v>63</v>
      </c>
      <c r="M13" s="32" t="s">
        <v>42</v>
      </c>
      <c r="N13" s="32">
        <v>8</v>
      </c>
      <c r="O13" s="33">
        <f>IF($B$4*8&gt;=200,200,$B$4*8)</f>
        <v>128</v>
      </c>
    </row>
    <row r="14" spans="1:15" x14ac:dyDescent="0.2">
      <c r="A14" s="34" t="s">
        <v>64</v>
      </c>
      <c r="B14" s="53" t="s">
        <v>65</v>
      </c>
      <c r="C14" s="53"/>
      <c r="D14" s="53" t="s">
        <v>66</v>
      </c>
      <c r="E14" s="53"/>
      <c r="F14" s="53" t="s">
        <v>39</v>
      </c>
      <c r="G14" s="53"/>
      <c r="H14" s="35" t="s">
        <v>67</v>
      </c>
      <c r="I14" s="36">
        <f>IF($B$4&gt;=50,J14,2*$B$4)</f>
        <v>32</v>
      </c>
      <c r="J14" s="35">
        <v>100</v>
      </c>
      <c r="K14" s="37"/>
      <c r="L14" s="38" t="s">
        <v>68</v>
      </c>
      <c r="M14" s="39" t="s">
        <v>42</v>
      </c>
      <c r="N14" s="39">
        <v>10</v>
      </c>
      <c r="O14" s="40">
        <f>IF($B$4*10&gt;=200,200,$B$4*10)</f>
        <v>160</v>
      </c>
    </row>
    <row r="15" spans="1:15" x14ac:dyDescent="0.2">
      <c r="A15" s="28" t="s">
        <v>69</v>
      </c>
      <c r="B15" s="54" t="s">
        <v>57</v>
      </c>
      <c r="C15" s="54"/>
      <c r="D15" s="54" t="s">
        <v>70</v>
      </c>
      <c r="E15" s="54"/>
      <c r="F15" s="54" t="s">
        <v>39</v>
      </c>
      <c r="G15" s="54"/>
      <c r="H15" s="29" t="s">
        <v>71</v>
      </c>
      <c r="I15" s="30">
        <f>0.1*$B$4</f>
        <v>1.6</v>
      </c>
      <c r="J15" s="29" t="s">
        <v>72</v>
      </c>
    </row>
    <row r="16" spans="1:15" x14ac:dyDescent="0.2">
      <c r="A16" s="34" t="s">
        <v>73</v>
      </c>
      <c r="B16" s="53" t="s">
        <v>57</v>
      </c>
      <c r="C16" s="53"/>
      <c r="D16" s="53" t="s">
        <v>58</v>
      </c>
      <c r="E16" s="53"/>
      <c r="F16" s="53" t="s">
        <v>44</v>
      </c>
      <c r="G16" s="53"/>
      <c r="H16" s="35" t="s">
        <v>44</v>
      </c>
      <c r="I16" s="36">
        <f>0.1*$B$4</f>
        <v>1.6</v>
      </c>
      <c r="J16" s="35" t="s">
        <v>72</v>
      </c>
      <c r="L16" s="55" t="s">
        <v>74</v>
      </c>
      <c r="M16" s="55"/>
    </row>
    <row r="17" spans="1:13" x14ac:dyDescent="0.2">
      <c r="A17" s="41" t="s">
        <v>75</v>
      </c>
      <c r="B17" s="52" t="s">
        <v>76</v>
      </c>
      <c r="C17" s="52"/>
      <c r="D17" s="52" t="s">
        <v>51</v>
      </c>
      <c r="E17" s="52"/>
      <c r="F17" s="52" t="s">
        <v>39</v>
      </c>
      <c r="G17" s="52"/>
      <c r="H17" s="42" t="s">
        <v>67</v>
      </c>
      <c r="I17" s="43">
        <f>0.1*$B$4</f>
        <v>1.6</v>
      </c>
      <c r="J17" s="42" t="s">
        <v>72</v>
      </c>
      <c r="L17" s="44" t="s">
        <v>77</v>
      </c>
      <c r="M17" t="str">
        <f>IF($B$3&gt;=12,"60-100",IF($B$3&gt;6,"75-118",IF($B$3&gt;3,"80-120",IF($B$3&gt;=1,"98-140","100-180"))))</f>
        <v>98-140</v>
      </c>
    </row>
    <row r="18" spans="1:13" x14ac:dyDescent="0.2">
      <c r="A18" s="34" t="s">
        <v>78</v>
      </c>
      <c r="B18" s="53" t="s">
        <v>79</v>
      </c>
      <c r="C18" s="53"/>
      <c r="D18" s="53" t="s">
        <v>80</v>
      </c>
      <c r="E18" s="53"/>
      <c r="F18" s="53" t="s">
        <v>44</v>
      </c>
      <c r="G18" s="53"/>
      <c r="H18" s="35" t="s">
        <v>44</v>
      </c>
      <c r="I18" s="36">
        <f>IF($B$4&gt;=20,J18,0.1*$B$4)</f>
        <v>1.6</v>
      </c>
      <c r="J18" s="35">
        <v>2</v>
      </c>
      <c r="L18" s="45" t="s">
        <v>81</v>
      </c>
      <c r="M18" s="37" t="str">
        <f>IF($B$3&gt;=12,"12-20",IF($B$3&gt;6,"18-25",IF($B$3&gt;3,"20-28",IF($B$3&gt;=1,"22-37","30-53"))))</f>
        <v>22-37</v>
      </c>
    </row>
    <row r="19" spans="1:13" x14ac:dyDescent="0.2">
      <c r="A19" s="28" t="s">
        <v>82</v>
      </c>
      <c r="B19" s="54" t="s">
        <v>79</v>
      </c>
      <c r="C19" s="54"/>
      <c r="D19" s="54" t="s">
        <v>80</v>
      </c>
      <c r="E19" s="54"/>
      <c r="F19" s="54" t="s">
        <v>44</v>
      </c>
      <c r="G19" s="54"/>
      <c r="H19" s="29" t="s">
        <v>44</v>
      </c>
      <c r="I19" s="30">
        <f>IF($B$4&gt;=40,J19,0.1*$B$4)</f>
        <v>1.6</v>
      </c>
      <c r="J19" s="29">
        <v>4</v>
      </c>
      <c r="L19" s="44" t="s">
        <v>83</v>
      </c>
      <c r="M19" t="str">
        <f>IF($B$3&gt;=12,"110-131",IF($B$3&gt;=10,"102-120",IF($B$3&gt;=6,"97-115",IF($B$3&gt;=3,"89-112",IF($B$3&gt;=1,"86-106","72-104")))))</f>
        <v>86-106</v>
      </c>
    </row>
    <row r="20" spans="1:13" x14ac:dyDescent="0.2">
      <c r="A20" s="34" t="s">
        <v>84</v>
      </c>
      <c r="B20" s="53" t="s">
        <v>85</v>
      </c>
      <c r="C20" s="53"/>
      <c r="D20" s="53" t="s">
        <v>86</v>
      </c>
      <c r="E20" s="53"/>
      <c r="F20" s="53" t="s">
        <v>39</v>
      </c>
      <c r="G20" s="53"/>
      <c r="H20" s="35" t="s">
        <v>71</v>
      </c>
      <c r="I20" s="36">
        <f>IF($B$4&gt;=25,J20,0.2*$B$4)</f>
        <v>3.2</v>
      </c>
      <c r="J20" s="35">
        <v>5</v>
      </c>
      <c r="K20" s="37"/>
      <c r="L20" s="45" t="s">
        <v>87</v>
      </c>
      <c r="M20" s="37" t="str">
        <f>IF($B$3&gt;=12,"64-83",IF($B$3&gt;=10,"61-80",IF($B$3&gt;=6,"57-76",IF($B$3&gt;=3,"46-72",IF($B$3&gt;=1,"42-63","37-56")))))</f>
        <v>42-63</v>
      </c>
    </row>
    <row r="21" spans="1:13" x14ac:dyDescent="0.2">
      <c r="A21" s="28" t="s">
        <v>88</v>
      </c>
      <c r="B21" s="54" t="s">
        <v>89</v>
      </c>
      <c r="C21" s="54"/>
      <c r="D21" s="54" t="s">
        <v>90</v>
      </c>
      <c r="E21" s="54"/>
      <c r="F21" s="54" t="s">
        <v>44</v>
      </c>
      <c r="G21" s="54"/>
      <c r="H21" s="29" t="s">
        <v>44</v>
      </c>
      <c r="I21" s="30">
        <f>IF($B$4&gt;=20,J21,0.1*$B$4)</f>
        <v>1.6</v>
      </c>
      <c r="J21" s="29">
        <v>2</v>
      </c>
      <c r="L21" s="44" t="s">
        <v>91</v>
      </c>
      <c r="M21" t="str">
        <f>IF($B$3&gt;=12,"73-84",IF($B$3&gt;=10,"71-79",IF($B$3&gt;=6,"66-72",IF($B$3&gt;=3,"58-69",IF($B$3&gt;=1,"49-62","50-62")))))</f>
        <v>49-62</v>
      </c>
    </row>
    <row r="22" spans="1:13" x14ac:dyDescent="0.2">
      <c r="A22" s="34" t="s">
        <v>92</v>
      </c>
      <c r="B22" s="53" t="s">
        <v>93</v>
      </c>
      <c r="C22" s="53"/>
      <c r="D22" s="53" t="s">
        <v>94</v>
      </c>
      <c r="E22" s="53"/>
      <c r="F22" s="53" t="s">
        <v>44</v>
      </c>
      <c r="G22" s="53"/>
      <c r="H22" s="35" t="s">
        <v>44</v>
      </c>
      <c r="I22" s="36">
        <f>IF($B$4&gt;=50,J22,2*$B$4)</f>
        <v>32</v>
      </c>
      <c r="J22" s="35">
        <v>100</v>
      </c>
      <c r="K22" s="37"/>
      <c r="L22" s="44"/>
    </row>
    <row r="23" spans="1:13" x14ac:dyDescent="0.2">
      <c r="A23" s="28" t="s">
        <v>95</v>
      </c>
      <c r="B23" s="54" t="s">
        <v>96</v>
      </c>
      <c r="C23" s="54"/>
      <c r="D23" s="54" t="s">
        <v>97</v>
      </c>
      <c r="E23" s="54"/>
      <c r="F23" s="54" t="s">
        <v>39</v>
      </c>
      <c r="G23" s="54"/>
      <c r="H23" s="29" t="s">
        <v>67</v>
      </c>
      <c r="I23" s="30">
        <f>IF($B$4&gt;=30,J23,2*$B$4)</f>
        <v>32</v>
      </c>
      <c r="J23" s="29">
        <v>60</v>
      </c>
      <c r="L23" s="44"/>
    </row>
    <row r="24" spans="1:13" x14ac:dyDescent="0.2">
      <c r="A24" s="34" t="s">
        <v>98</v>
      </c>
      <c r="B24" s="53" t="s">
        <v>99</v>
      </c>
      <c r="C24" s="53"/>
      <c r="D24" s="53" t="s">
        <v>70</v>
      </c>
      <c r="E24" s="53"/>
      <c r="F24" s="53" t="s">
        <v>100</v>
      </c>
      <c r="G24" s="53"/>
      <c r="H24" s="35" t="s">
        <v>67</v>
      </c>
      <c r="I24" s="36">
        <f>IF($B$4&gt;=100,J24,0.1*$B$4)</f>
        <v>1.6</v>
      </c>
      <c r="J24" s="35">
        <v>10</v>
      </c>
    </row>
    <row r="25" spans="1:13" x14ac:dyDescent="0.2">
      <c r="A25" s="28" t="s">
        <v>101</v>
      </c>
      <c r="B25" s="54" t="s">
        <v>79</v>
      </c>
      <c r="C25" s="54"/>
      <c r="D25" s="54" t="s">
        <v>51</v>
      </c>
      <c r="E25" s="54"/>
      <c r="F25" s="54" t="s">
        <v>39</v>
      </c>
      <c r="G25" s="54"/>
      <c r="H25" s="29" t="s">
        <v>71</v>
      </c>
      <c r="I25" s="30">
        <f>IF($B$4&gt;=50,J25,0.1*$B$4)</f>
        <v>1.6</v>
      </c>
      <c r="J25" s="29">
        <v>5</v>
      </c>
    </row>
    <row r="26" spans="1:13" x14ac:dyDescent="0.2">
      <c r="A26" s="34" t="s">
        <v>102</v>
      </c>
      <c r="B26" s="53" t="s">
        <v>79</v>
      </c>
      <c r="C26" s="53"/>
      <c r="D26" s="53" t="s">
        <v>80</v>
      </c>
      <c r="E26" s="53"/>
      <c r="F26" s="53" t="s">
        <v>44</v>
      </c>
      <c r="G26" s="53"/>
      <c r="H26" s="35" t="s">
        <v>44</v>
      </c>
      <c r="I26" s="36">
        <f>IF($B$4&gt;=20,J26,0.1*$B$4)</f>
        <v>1.6</v>
      </c>
      <c r="J26" s="35">
        <v>2</v>
      </c>
    </row>
    <row r="27" spans="1:13" x14ac:dyDescent="0.2">
      <c r="A27" s="41" t="s">
        <v>103</v>
      </c>
      <c r="B27" s="52" t="s">
        <v>104</v>
      </c>
      <c r="C27" s="52"/>
      <c r="D27" s="52" t="s">
        <v>51</v>
      </c>
      <c r="E27" s="52"/>
      <c r="F27" s="52" t="s">
        <v>39</v>
      </c>
      <c r="G27" s="52"/>
      <c r="H27" s="42" t="s">
        <v>40</v>
      </c>
      <c r="I27" s="43">
        <f>B4*0.1</f>
        <v>1.6</v>
      </c>
      <c r="J27" s="42" t="s">
        <v>72</v>
      </c>
    </row>
    <row r="28" spans="1:13" x14ac:dyDescent="0.2">
      <c r="A28" s="34" t="s">
        <v>105</v>
      </c>
      <c r="B28" s="53" t="s">
        <v>106</v>
      </c>
      <c r="C28" s="53"/>
      <c r="D28" s="53" t="s">
        <v>51</v>
      </c>
      <c r="E28" s="53"/>
      <c r="F28" s="53" t="s">
        <v>39</v>
      </c>
      <c r="G28" s="53"/>
      <c r="H28" s="35" t="s">
        <v>107</v>
      </c>
      <c r="I28" s="36">
        <f>IF($B$4&gt;=20,J28,1*$B$4)</f>
        <v>16</v>
      </c>
      <c r="J28" s="35">
        <v>20</v>
      </c>
    </row>
    <row r="29" spans="1:13" x14ac:dyDescent="0.2">
      <c r="A29" s="41" t="s">
        <v>108</v>
      </c>
      <c r="B29" s="52" t="s">
        <v>109</v>
      </c>
      <c r="C29" s="52"/>
      <c r="D29" s="52" t="s">
        <v>110</v>
      </c>
      <c r="E29" s="52"/>
      <c r="F29" s="52" t="s">
        <v>44</v>
      </c>
      <c r="G29" s="52"/>
      <c r="H29" s="42" t="s">
        <v>44</v>
      </c>
      <c r="I29" s="43">
        <f>IF($B$4&gt;=72,J29,0.14*$B$4)</f>
        <v>2.2400000000000002</v>
      </c>
      <c r="J29" s="42">
        <v>10</v>
      </c>
    </row>
    <row r="30" spans="1:13" x14ac:dyDescent="0.2">
      <c r="A30" s="34" t="s">
        <v>111</v>
      </c>
      <c r="B30" s="53" t="s">
        <v>76</v>
      </c>
      <c r="C30" s="53"/>
      <c r="D30" s="53" t="s">
        <v>51</v>
      </c>
      <c r="E30" s="53"/>
      <c r="F30" s="53" t="s">
        <v>39</v>
      </c>
      <c r="G30" s="53"/>
      <c r="H30" s="35" t="s">
        <v>67</v>
      </c>
      <c r="I30" s="36">
        <f>IF($B$4&gt;=200,J30,0.1*$B$4)</f>
        <v>1.6</v>
      </c>
      <c r="J30" s="35" t="s">
        <v>72</v>
      </c>
    </row>
    <row r="31" spans="1:13" x14ac:dyDescent="0.2">
      <c r="A31" s="41" t="s">
        <v>112</v>
      </c>
      <c r="B31" s="52" t="s">
        <v>104</v>
      </c>
      <c r="C31" s="52"/>
      <c r="D31" s="52" t="s">
        <v>70</v>
      </c>
      <c r="E31" s="52"/>
      <c r="F31" s="52" t="s">
        <v>44</v>
      </c>
      <c r="G31" s="52"/>
      <c r="H31" s="42" t="s">
        <v>44</v>
      </c>
      <c r="I31" s="43">
        <f>IF($B$4&gt;=200,J31,0.1*$B$4)</f>
        <v>1.6</v>
      </c>
      <c r="J31" s="42" t="s">
        <v>72</v>
      </c>
    </row>
    <row r="32" spans="1:13" x14ac:dyDescent="0.2">
      <c r="A32" s="34" t="s">
        <v>113</v>
      </c>
      <c r="B32" s="53" t="s">
        <v>104</v>
      </c>
      <c r="C32" s="53"/>
      <c r="D32" s="53" t="s">
        <v>70</v>
      </c>
      <c r="E32" s="53"/>
      <c r="F32" s="53" t="s">
        <v>44</v>
      </c>
      <c r="G32" s="53"/>
      <c r="H32" s="35" t="s">
        <v>44</v>
      </c>
      <c r="I32" s="36">
        <f>IF($B$4&gt;=200,J32,0.1*$B$4)</f>
        <v>1.6</v>
      </c>
      <c r="J32" s="35" t="s">
        <v>72</v>
      </c>
    </row>
    <row r="34" spans="12:17" ht="18.600000000000001" customHeight="1" x14ac:dyDescent="0.2">
      <c r="L34" s="51" t="s">
        <v>114</v>
      </c>
      <c r="M34" s="51"/>
      <c r="N34" s="51"/>
      <c r="O34" s="51"/>
      <c r="P34" s="51"/>
      <c r="Q34" s="51"/>
    </row>
  </sheetData>
  <sheetProtection password="DC89" sheet="1" objects="1" scenarios="1"/>
  <mergeCells count="87">
    <mergeCell ref="A1:O1"/>
    <mergeCell ref="B2:G2"/>
    <mergeCell ref="K2:L2"/>
    <mergeCell ref="K3:L3"/>
    <mergeCell ref="B6:C6"/>
    <mergeCell ref="D6:E6"/>
    <mergeCell ref="F6:G6"/>
    <mergeCell ref="B7:C7"/>
    <mergeCell ref="D7:E7"/>
    <mergeCell ref="F7:G7"/>
    <mergeCell ref="B8:C8"/>
    <mergeCell ref="D8:E8"/>
    <mergeCell ref="F8:G8"/>
    <mergeCell ref="B9:C9"/>
    <mergeCell ref="D9:E9"/>
    <mergeCell ref="F9:G9"/>
    <mergeCell ref="B10:C10"/>
    <mergeCell ref="D10:E10"/>
    <mergeCell ref="F10:G10"/>
    <mergeCell ref="B11:C11"/>
    <mergeCell ref="D11:E11"/>
    <mergeCell ref="F11:G11"/>
    <mergeCell ref="B12:C12"/>
    <mergeCell ref="D12:E12"/>
    <mergeCell ref="F12:G12"/>
    <mergeCell ref="B13:C13"/>
    <mergeCell ref="D13:E13"/>
    <mergeCell ref="F13:G13"/>
    <mergeCell ref="B14:C14"/>
    <mergeCell ref="D14:E14"/>
    <mergeCell ref="F14:G14"/>
    <mergeCell ref="B15:C15"/>
    <mergeCell ref="D15:E15"/>
    <mergeCell ref="F15:G15"/>
    <mergeCell ref="B16:C16"/>
    <mergeCell ref="D16:E16"/>
    <mergeCell ref="F16:G16"/>
    <mergeCell ref="L16:M16"/>
    <mergeCell ref="B17:C17"/>
    <mergeCell ref="D17:E17"/>
    <mergeCell ref="F17:G17"/>
    <mergeCell ref="B18:C18"/>
    <mergeCell ref="D18:E18"/>
    <mergeCell ref="F18:G18"/>
    <mergeCell ref="B19:C19"/>
    <mergeCell ref="D19:E19"/>
    <mergeCell ref="F19:G19"/>
    <mergeCell ref="B20:C20"/>
    <mergeCell ref="D20:E20"/>
    <mergeCell ref="F20:G20"/>
    <mergeCell ref="B21:C21"/>
    <mergeCell ref="D21:E21"/>
    <mergeCell ref="F21:G21"/>
    <mergeCell ref="B22:C22"/>
    <mergeCell ref="D22:E22"/>
    <mergeCell ref="F22:G22"/>
    <mergeCell ref="B23:C23"/>
    <mergeCell ref="D23:E23"/>
    <mergeCell ref="F23:G23"/>
    <mergeCell ref="B24:C24"/>
    <mergeCell ref="D24:E24"/>
    <mergeCell ref="F24:G24"/>
    <mergeCell ref="B25:C25"/>
    <mergeCell ref="D25:E25"/>
    <mergeCell ref="F25:G25"/>
    <mergeCell ref="B26:C26"/>
    <mergeCell ref="D26:E26"/>
    <mergeCell ref="F26:G26"/>
    <mergeCell ref="B27:C27"/>
    <mergeCell ref="D27:E27"/>
    <mergeCell ref="F27:G27"/>
    <mergeCell ref="B28:C28"/>
    <mergeCell ref="D28:E28"/>
    <mergeCell ref="F28:G28"/>
    <mergeCell ref="B29:C29"/>
    <mergeCell ref="D29:E29"/>
    <mergeCell ref="F29:G29"/>
    <mergeCell ref="B30:C30"/>
    <mergeCell ref="D30:E30"/>
    <mergeCell ref="F30:G30"/>
    <mergeCell ref="L34:Q34"/>
    <mergeCell ref="B31:C31"/>
    <mergeCell ref="D31:E31"/>
    <mergeCell ref="F31:G31"/>
    <mergeCell ref="B32:C32"/>
    <mergeCell ref="D32:E32"/>
    <mergeCell ref="F32:G32"/>
  </mergeCells>
  <pageMargins left="0.7" right="0.7" top="0.49791666666666701" bottom="0.67847222222222203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Excel Android</Application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IDENTIFICAÇÃO</vt:lpstr>
      <vt:lpstr>IMPRIMIR AQUI!!</vt:lpstr>
      <vt:lpstr>IMPRIMIR AQUI!!!Area_de_impressao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flavio valcacer</dc:creator>
  <dc:description/>
  <cp:lastModifiedBy/>
  <cp:revision>28</cp:revision>
  <cp:lastPrinted>2021-05-09T21:07:21Z</cp:lastPrinted>
  <dcterms:created xsi:type="dcterms:W3CDTF">2020-01-22T03:52:47Z</dcterms:created>
  <dcterms:modified xsi:type="dcterms:W3CDTF">2021-05-09T21:07:27Z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