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drawings/drawing4.xml" ContentType="application/vnd.openxmlformats-officedocument.drawing+xml"/>
  <Override PartName="/xl/comments4.xml" ContentType="application/vnd.openxmlformats-officedocument.spreadsheetml.comments+xml"/>
  <Override PartName="/xl/threadedComments/threadedComment1.xml" ContentType="application/vnd.ms-excel.threadedcomments+xml"/>
  <Override PartName="/xl/charts/chart23.xml" ContentType="application/vnd.openxmlformats-officedocument.drawingml.chart+xml"/>
  <Override PartName="/xl/charts/style17.xml" ContentType="application/vnd.ms-office.chartstyle+xml"/>
  <Override PartName="/xl/charts/colors17.xml" ContentType="application/vnd.ms-office.chartcolorstyle+xml"/>
  <Override PartName="/xl/comments5.xml" ContentType="application/vnd.openxmlformats-officedocument.spreadsheetml.comments+xml"/>
  <Override PartName="/xl/threadedComments/threadedComment2.xml" ContentType="application/vnd.ms-excel.threadedcomments+xml"/>
  <Override PartName="/xl/drawings/drawing5.xml" ContentType="application/vnd.openxmlformats-officedocument.drawing+xml"/>
  <Override PartName="/xl/comments6.xml" ContentType="application/vnd.openxmlformats-officedocument.spreadsheetml.comments+xml"/>
  <Override PartName="/xl/threadedComments/threadedComment3.xml" ContentType="application/vnd.ms-excel.threadedcomments+xml"/>
  <Override PartName="/xl/charts/chart24.xml" ContentType="application/vnd.openxmlformats-officedocument.drawingml.chart+xml"/>
  <Override PartName="/xl/charts/style18.xml" ContentType="application/vnd.ms-office.chartstyle+xml"/>
  <Override PartName="/xl/charts/colors18.xml" ContentType="application/vnd.ms-office.chartcolorstyle+xml"/>
  <Override PartName="/xl/charts/chart25.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harts/chart26.xml" ContentType="application/vnd.openxmlformats-officedocument.drawingml.chart+xml"/>
  <Override PartName="/xl/charts/style20.xml" ContentType="application/vnd.ms-office.chartstyle+xml"/>
  <Override PartName="/xl/charts/colors20.xml" ContentType="application/vnd.ms-office.chartcolorstyle+xml"/>
  <Override PartName="/xl/comments7.xml" ContentType="application/vnd.openxmlformats-officedocument.spreadsheetml.comments+xml"/>
  <Override PartName="/xl/drawings/drawing8.xml" ContentType="application/vnd.openxmlformats-officedocument.drawing+xml"/>
  <Override PartName="/xl/charts/chart27.xml" ContentType="application/vnd.openxmlformats-officedocument.drawingml.chart+xml"/>
  <Override PartName="/xl/charts/style21.xml" ContentType="application/vnd.ms-office.chartstyle+xml"/>
  <Override PartName="/xl/charts/colors21.xml" ContentType="application/vnd.ms-office.chartcolorstyle+xml"/>
  <Override PartName="/xl/charts/chart28.xml" ContentType="application/vnd.openxmlformats-officedocument.drawingml.chart+xml"/>
  <Override PartName="/xl/charts/style22.xml" ContentType="application/vnd.ms-office.chartstyle+xml"/>
  <Override PartName="/xl/charts/colors22.xml" ContentType="application/vnd.ms-office.chartcolorstyle+xml"/>
  <Override PartName="/xl/charts/chart29.xml" ContentType="application/vnd.openxmlformats-officedocument.drawingml.chart+xml"/>
  <Override PartName="/xl/charts/style23.xml" ContentType="application/vnd.ms-office.chartstyle+xml"/>
  <Override PartName="/xl/charts/colors23.xml" ContentType="application/vnd.ms-office.chartcolorstyle+xml"/>
  <Override PartName="/xl/charts/chart30.xml" ContentType="application/vnd.openxmlformats-officedocument.drawingml.chart+xml"/>
  <Override PartName="/xl/charts/style24.xml" ContentType="application/vnd.ms-office.chartstyle+xml"/>
  <Override PartName="/xl/charts/colors24.xml" ContentType="application/vnd.ms-office.chartcolorstyle+xml"/>
  <Override PartName="/xl/charts/chart31.xml" ContentType="application/vnd.openxmlformats-officedocument.drawingml.chart+xml"/>
  <Override PartName="/xl/charts/style25.xml" ContentType="application/vnd.ms-office.chartstyle+xml"/>
  <Override PartName="/xl/charts/colors25.xml" ContentType="application/vnd.ms-office.chartcolorstyle+xml"/>
  <Override PartName="/xl/comments8.xml" ContentType="application/vnd.openxmlformats-officedocument.spreadsheetml.comments+xml"/>
  <Override PartName="/xl/drawings/drawing9.xml" ContentType="application/vnd.openxmlformats-officedocument.drawing+xml"/>
  <Override PartName="/xl/charts/chart32.xml" ContentType="application/vnd.openxmlformats-officedocument.drawingml.chart+xml"/>
  <Override PartName="/xl/charts/style26.xml" ContentType="application/vnd.ms-office.chartstyle+xml"/>
  <Override PartName="/xl/charts/colors26.xml" ContentType="application/vnd.ms-office.chartcolorstyle+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harts/chart33.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4.xml" ContentType="application/vnd.openxmlformats-officedocument.drawing+xml"/>
  <Override PartName="/xl/charts/chart34.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15.xml" ContentType="application/vnd.openxmlformats-officedocument.drawing+xml"/>
  <Override PartName="/xl/comments13.xml" ContentType="application/vnd.openxmlformats-officedocument.spreadsheetml.comments+xml"/>
  <Override PartName="/xl/charts/chart35.xml" ContentType="application/vnd.openxmlformats-officedocument.drawingml.chart+xml"/>
  <Override PartName="/xl/charts/chart36.xml" ContentType="application/vnd.openxmlformats-officedocument.drawingml.chart+xml"/>
  <Override PartName="/xl/charts/style29.xml" ContentType="application/vnd.ms-office.chartstyle+xml"/>
  <Override PartName="/xl/charts/colors29.xml" ContentType="application/vnd.ms-office.chartcolorstyle+xml"/>
  <Override PartName="/xl/charts/chart37.xml" ContentType="application/vnd.openxmlformats-officedocument.drawingml.chart+xml"/>
  <Override PartName="/xl/charts/style30.xml" ContentType="application/vnd.ms-office.chartstyle+xml"/>
  <Override PartName="/xl/charts/colors30.xml" ContentType="application/vnd.ms-office.chartcolorstyle+xml"/>
  <Override PartName="/xl/charts/chart38.xml" ContentType="application/vnd.openxmlformats-officedocument.drawingml.chart+xml"/>
  <Override PartName="/xl/charts/style31.xml" ContentType="application/vnd.ms-office.chartstyle+xml"/>
  <Override PartName="/xl/charts/colors31.xml" ContentType="application/vnd.ms-office.chartcolorstyle+xml"/>
  <Override PartName="/xl/charts/chart39.xml" ContentType="application/vnd.openxmlformats-officedocument.drawingml.chart+xml"/>
  <Override PartName="/xl/charts/style32.xml" ContentType="application/vnd.ms-office.chartstyle+xml"/>
  <Override PartName="/xl/charts/colors32.xml" ContentType="application/vnd.ms-office.chartcolorstyle+xml"/>
  <Override PartName="/xl/charts/chart40.xml" ContentType="application/vnd.openxmlformats-officedocument.drawingml.chart+xml"/>
  <Override PartName="/xl/charts/style33.xml" ContentType="application/vnd.ms-office.chartstyle+xml"/>
  <Override PartName="/xl/charts/colors33.xml" ContentType="application/vnd.ms-office.chartcolorstyle+xml"/>
  <Override PartName="/xl/charts/chart41.xml" ContentType="application/vnd.openxmlformats-officedocument.drawingml.chart+xml"/>
  <Override PartName="/xl/charts/style34.xml" ContentType="application/vnd.ms-office.chartstyle+xml"/>
  <Override PartName="/xl/charts/colors34.xml" ContentType="application/vnd.ms-office.chartcolorstyle+xml"/>
  <Override PartName="/xl/charts/chart42.xml" ContentType="application/vnd.openxmlformats-officedocument.drawingml.chart+xml"/>
  <Override PartName="/xl/charts/style35.xml" ContentType="application/vnd.ms-office.chartstyle+xml"/>
  <Override PartName="/xl/charts/colors35.xml" ContentType="application/vnd.ms-office.chartcolorstyle+xml"/>
  <Override PartName="/xl/charts/chart43.xml" ContentType="application/vnd.openxmlformats-officedocument.drawingml.chart+xml"/>
  <Override PartName="/xl/charts/chart44.xml" ContentType="application/vnd.openxmlformats-officedocument.drawingml.chart+xml"/>
  <Override PartName="/xl/charts/style36.xml" ContentType="application/vnd.ms-office.chartstyle+xml"/>
  <Override PartName="/xl/charts/colors36.xml" ContentType="application/vnd.ms-office.chartcolorstyle+xml"/>
  <Override PartName="/xl/charts/chart45.xml" ContentType="application/vnd.openxmlformats-officedocument.drawingml.chart+xml"/>
  <Override PartName="/xl/charts/style37.xml" ContentType="application/vnd.ms-office.chartstyle+xml"/>
  <Override PartName="/xl/charts/colors37.xml" ContentType="application/vnd.ms-office.chartcolorstyle+xml"/>
  <Override PartName="/xl/charts/chart46.xml" ContentType="application/vnd.openxmlformats-officedocument.drawingml.chart+xml"/>
  <Override PartName="/xl/charts/style38.xml" ContentType="application/vnd.ms-office.chartstyle+xml"/>
  <Override PartName="/xl/charts/colors38.xml" ContentType="application/vnd.ms-office.chartcolorstyle+xml"/>
  <Override PartName="/xl/charts/chart47.xml" ContentType="application/vnd.openxmlformats-officedocument.drawingml.chart+xml"/>
  <Override PartName="/xl/charts/style39.xml" ContentType="application/vnd.ms-office.chartstyle+xml"/>
  <Override PartName="/xl/charts/colors39.xml" ContentType="application/vnd.ms-office.chartcolorstyle+xml"/>
  <Override PartName="/xl/charts/chart48.xml" ContentType="application/vnd.openxmlformats-officedocument.drawingml.chart+xml"/>
  <Override PartName="/xl/charts/style40.xml" ContentType="application/vnd.ms-office.chartstyle+xml"/>
  <Override PartName="/xl/charts/colors40.xml" ContentType="application/vnd.ms-office.chartcolorstyle+xml"/>
  <Override PartName="/xl/charts/chart49.xml" ContentType="application/vnd.openxmlformats-officedocument.drawingml.chart+xml"/>
  <Override PartName="/xl/charts/style41.xml" ContentType="application/vnd.ms-office.chartstyle+xml"/>
  <Override PartName="/xl/charts/colors41.xml" ContentType="application/vnd.ms-office.chartcolorstyle+xml"/>
  <Override PartName="/xl/charts/chart50.xml" ContentType="application/vnd.openxmlformats-officedocument.drawingml.chart+xml"/>
  <Override PartName="/xl/charts/style42.xml" ContentType="application/vnd.ms-office.chartstyle+xml"/>
  <Override PartName="/xl/charts/colors42.xml" ContentType="application/vnd.ms-office.chartcolorstyle+xml"/>
  <Override PartName="/xl/comments14.xml" ContentType="application/vnd.openxmlformats-officedocument.spreadsheetml.comments+xml"/>
  <Override PartName="/xl/drawings/drawing16.xml" ContentType="application/vnd.openxmlformats-officedocument.drawing+xml"/>
  <Override PartName="/xl/charts/chart51.xml" ContentType="application/vnd.openxmlformats-officedocument.drawingml.chart+xml"/>
  <Override PartName="/xl/charts/style43.xml" ContentType="application/vnd.ms-office.chartstyle+xml"/>
  <Override PartName="/xl/charts/colors43.xml" ContentType="application/vnd.ms-office.chartcolorstyle+xml"/>
  <Override PartName="/xl/charts/chart52.xml" ContentType="application/vnd.openxmlformats-officedocument.drawingml.chart+xml"/>
  <Override PartName="/xl/charts/style44.xml" ContentType="application/vnd.ms-office.chartstyle+xml"/>
  <Override PartName="/xl/charts/colors44.xml" ContentType="application/vnd.ms-office.chartcolorstyle+xml"/>
  <Override PartName="/xl/charts/chart53.xml" ContentType="application/vnd.openxmlformats-officedocument.drawingml.chart+xml"/>
  <Override PartName="/xl/charts/style45.xml" ContentType="application/vnd.ms-office.chartstyle+xml"/>
  <Override PartName="/xl/charts/colors45.xml" ContentType="application/vnd.ms-office.chartcolorstyle+xml"/>
  <Override PartName="/xl/charts/chart54.xml" ContentType="application/vnd.openxmlformats-officedocument.drawingml.chart+xml"/>
  <Override PartName="/xl/charts/style46.xml" ContentType="application/vnd.ms-office.chartstyle+xml"/>
  <Override PartName="/xl/charts/colors4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defaultThemeVersion="166925"/>
  <mc:AlternateContent xmlns:mc="http://schemas.openxmlformats.org/markup-compatibility/2006">
    <mc:Choice Requires="x15">
      <x15ac:absPath xmlns:x15ac="http://schemas.microsoft.com/office/spreadsheetml/2010/11/ac" url="https://bocconi-my.sharepoint.com/personal/filippo_boggetti_studbocconi_it/Documents/"/>
    </mc:Choice>
  </mc:AlternateContent>
  <xr:revisionPtr revIDLastSave="5401" documentId="6_{45F5DBF9-7183-634D-80B5-F967BA457DBA}" xr6:coauthVersionLast="47" xr6:coauthVersionMax="47" xr10:uidLastSave="{C312B2CB-C392-C344-906F-9508104D5522}"/>
  <bookViews>
    <workbookView xWindow="0" yWindow="760" windowWidth="30240" windowHeight="16800" activeTab="5" xr2:uid="{D27F0D1E-D04F-A949-BC7A-2E0B89C82ABC}"/>
  </bookViews>
  <sheets>
    <sheet name="Forecast Drivers" sheetId="1" r:id="rId1"/>
    <sheet name="Pro_Forma IS" sheetId="21" r:id="rId2"/>
    <sheet name="Pro_Forma BS" sheetId="34" r:id="rId3"/>
    <sheet name="Cash Flow" sheetId="45" r:id="rId4"/>
    <sheet name="Real GDP Brazil" sheetId="3" r:id="rId5"/>
    <sheet name="Regression_Brazil " sheetId="7" r:id="rId6"/>
    <sheet name="Domestic, Brazil estimate" sheetId="8" r:id="rId7"/>
    <sheet name="Bra_Mkt_Sh" sheetId="9" r:id="rId8"/>
    <sheet name="SSC_regression" sheetId="15" r:id="rId9"/>
    <sheet name="SSC estimate" sheetId="14" r:id="rId10"/>
    <sheet name="SSC_Mkt_Sh" sheetId="12" r:id="rId11"/>
    <sheet name="Int_Mkt_Sh" sheetId="16" r:id="rId12"/>
    <sheet name="A1-jet Fuel" sheetId="4" r:id="rId13"/>
    <sheet name="Futures_provvisorio" sheetId="13" r:id="rId14"/>
    <sheet name="Drivers Cargo" sheetId="26" r:id="rId15"/>
    <sheet name="Cargo_Graph" sheetId="25" r:id="rId16"/>
    <sheet name="Cargo" sheetId="23" r:id="rId17"/>
    <sheet name="Fleet" sheetId="24" r:id="rId18"/>
    <sheet name="Cap_Inc" sheetId="39" r:id="rId19"/>
    <sheet name="Sch_Deb" sheetId="38" r:id="rId20"/>
    <sheet name="CAPEX" sheetId="30" state="hidden" r:id="rId21"/>
    <sheet name="CAPEX (2)" sheetId="53" state="hidden" r:id="rId22"/>
    <sheet name="Working Cap" sheetId="42" r:id="rId23"/>
    <sheet name="Capex." sheetId="49" r:id="rId24"/>
    <sheet name="Pitch" sheetId="50" state="hidden" r:id="rId25"/>
    <sheet name="SS" sheetId="11" state="hidden" r:id="rId26"/>
    <sheet name="LATAM ASK" sheetId="17" state="hidden" r:id="rId27"/>
    <sheet name="Forecast Drivers (2)" sheetId="18" state="hidden" r:id="rId28"/>
    <sheet name="Margin" sheetId="22" state="hidden" r:id="rId29"/>
    <sheet name="Pro_Forma BS (2)" sheetId="48" state="hidden" r:id="rId30"/>
    <sheet name="Multiples (1)" sheetId="62" r:id="rId31"/>
    <sheet name="Multiples (2) FY0 data" sheetId="63" r:id="rId32"/>
    <sheet name="Multiples (3) LTM &amp; NTM Data" sheetId="64" r:id="rId33"/>
    <sheet name="Multiples (4) Graphs" sheetId="65" r:id="rId34"/>
    <sheet name="Multiples Reg (1)" sheetId="66" r:id="rId35"/>
    <sheet name="Multiples Reg (2)" sheetId="67" r:id="rId36"/>
    <sheet name="Multiples Reg (3)" sheetId="68" r:id="rId37"/>
    <sheet name="Market shares" sheetId="69" r:id="rId38"/>
    <sheet name="EVB" sheetId="70" r:id="rId39"/>
    <sheet name="Sheet1" sheetId="71" r:id="rId40"/>
    <sheet name="Sheet2" sheetId="72" r:id="rId41"/>
  </sheets>
  <externalReferences>
    <externalReference r:id="rId42"/>
    <externalReference r:id="rId43"/>
    <externalReference r:id="rId44"/>
    <externalReference r:id="rId45"/>
    <externalReference r:id="rId46"/>
  </externalReferences>
  <definedNames>
    <definedName name="_xlnm._FilterDatabase" localSheetId="30" hidden="1">'Multiples (1)'!$A$1:$M$125</definedName>
    <definedName name="_xlnm._FilterDatabase" localSheetId="25" hidden="1">SS!$A$103:$AQ$142</definedName>
    <definedName name="ACCIONES" localSheetId="28">'[1]Shares Outstanding'!$C$3:$D$104</definedName>
    <definedName name="ACCIONES" localSheetId="22">'[1]Shares Outstanding'!$C$3:$D$104</definedName>
    <definedName name="ACCIONES">'[2]Shares Outstanding'!$C$3:$D$104</definedName>
    <definedName name="Debt_Sc">'[2]Tipos de Cambio'!#REF!</definedName>
    <definedName name="EERR" localSheetId="28">'[3]Consolidated Income Statement'!$C$4:$BU$228</definedName>
    <definedName name="EERR" localSheetId="25">'[3]Consolidated Income Statement'!$C$4:$BU$228</definedName>
    <definedName name="EERR" localSheetId="22">'[3]Consolidated Income Statement'!$C$4:$BU$228</definedName>
    <definedName name="EERR">'[3]Consolidated Income Statement'!$C$4:$BU$228</definedName>
    <definedName name="EERR3" localSheetId="28">'[1]P&amp;L'!$D$4:$BV$236</definedName>
    <definedName name="EERR3" localSheetId="22">'[1]P&amp;L'!$D$4:$BV$236</definedName>
    <definedName name="EERR3">'[2]P&amp;L'!$D$4:$BV$236</definedName>
    <definedName name="Periodos" localSheetId="28">'[1]Tipos de Cambio'!$B$4:$C$82</definedName>
    <definedName name="Periodos" localSheetId="22">'[1]Tipos de Cambio'!$B$4:$C$82</definedName>
    <definedName name="Periodos">'[2]Tipos de Cambio'!$B$4:$C$82</definedName>
    <definedName name="Sch_Debt">'[2]Tipos de Cambio'!#REF!</definedName>
    <definedName name="TC" localSheetId="18">'[2]Tipos de Cambio'!#REF!</definedName>
    <definedName name="TC" localSheetId="28">'[1]Tipos de Cambio'!#REF!</definedName>
    <definedName name="TC" localSheetId="19">'[2]Tipos de Cambio'!#REF!</definedName>
    <definedName name="TC" localSheetId="22">'[1]Tipos de Cambio'!#REF!</definedName>
    <definedName name="TC">'[2]Tipos de Cambio'!#REF!</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2" i="9" l="1"/>
  <c r="N29" i="9"/>
  <c r="N28" i="9"/>
  <c r="N7" i="9"/>
  <c r="N6" i="9"/>
  <c r="D56" i="1"/>
  <c r="N21" i="72"/>
  <c r="M21" i="72"/>
  <c r="L21" i="72"/>
  <c r="K21" i="72"/>
  <c r="J21" i="72"/>
  <c r="I21" i="72"/>
  <c r="N20" i="72"/>
  <c r="M20" i="72"/>
  <c r="L20" i="72"/>
  <c r="K20" i="72"/>
  <c r="J20" i="72"/>
  <c r="I20" i="72"/>
  <c r="N19" i="72"/>
  <c r="M19" i="72"/>
  <c r="L19" i="72"/>
  <c r="K19" i="72"/>
  <c r="J19" i="72"/>
  <c r="I19" i="72"/>
  <c r="N18" i="72"/>
  <c r="M18" i="72"/>
  <c r="L18" i="72"/>
  <c r="K18" i="72"/>
  <c r="J18" i="72"/>
  <c r="I18" i="72"/>
  <c r="N17" i="72"/>
  <c r="M17" i="72"/>
  <c r="L17" i="72"/>
  <c r="K17" i="72"/>
  <c r="J17" i="72"/>
  <c r="I17" i="72"/>
  <c r="N16" i="72"/>
  <c r="M16" i="72"/>
  <c r="L16" i="72"/>
  <c r="K16" i="72"/>
  <c r="J16" i="72"/>
  <c r="I16" i="72"/>
  <c r="N15" i="72"/>
  <c r="M15" i="72"/>
  <c r="L15" i="72"/>
  <c r="K15" i="72"/>
  <c r="J15" i="72"/>
  <c r="I15" i="72"/>
  <c r="N14" i="72"/>
  <c r="M14" i="72"/>
  <c r="L14" i="72"/>
  <c r="K14" i="72"/>
  <c r="J14" i="72"/>
  <c r="I14" i="72"/>
  <c r="N13" i="72"/>
  <c r="M13" i="72"/>
  <c r="L13" i="72"/>
  <c r="K13" i="72"/>
  <c r="J13" i="72"/>
  <c r="I13" i="72"/>
  <c r="N12" i="72"/>
  <c r="M12" i="72"/>
  <c r="L12" i="72"/>
  <c r="K12" i="72"/>
  <c r="J12" i="72"/>
  <c r="I12" i="72"/>
  <c r="N11" i="72"/>
  <c r="M11" i="72"/>
  <c r="L11" i="72"/>
  <c r="K11" i="72"/>
  <c r="J11" i="72"/>
  <c r="I11" i="72"/>
  <c r="G10" i="72"/>
  <c r="N10" i="72" s="1"/>
  <c r="F10" i="72"/>
  <c r="M10" i="72" s="1"/>
  <c r="E10" i="72"/>
  <c r="L10" i="72" s="1"/>
  <c r="D10" i="72"/>
  <c r="K10" i="72" s="1"/>
  <c r="C10" i="72"/>
  <c r="J10" i="72" s="1"/>
  <c r="B10" i="72"/>
  <c r="I10" i="72" s="1"/>
  <c r="N9" i="72"/>
  <c r="M9" i="72"/>
  <c r="L9" i="72"/>
  <c r="K9" i="72"/>
  <c r="J9" i="72"/>
  <c r="I9" i="72"/>
  <c r="N8" i="72"/>
  <c r="M8" i="72"/>
  <c r="L8" i="72"/>
  <c r="K8" i="72"/>
  <c r="J8" i="72"/>
  <c r="I8" i="72"/>
  <c r="N7" i="72"/>
  <c r="M7" i="72"/>
  <c r="L7" i="72"/>
  <c r="K7" i="72"/>
  <c r="J7" i="72"/>
  <c r="I7" i="72"/>
  <c r="N6" i="72"/>
  <c r="M6" i="72"/>
  <c r="L6" i="72"/>
  <c r="K6" i="72"/>
  <c r="J6" i="72"/>
  <c r="I6" i="72"/>
  <c r="N5" i="72"/>
  <c r="M5" i="72"/>
  <c r="L5" i="72"/>
  <c r="K5" i="72"/>
  <c r="J5" i="72"/>
  <c r="I5" i="72"/>
  <c r="N4" i="72"/>
  <c r="M4" i="72"/>
  <c r="L4" i="72"/>
  <c r="K4" i="72"/>
  <c r="J4" i="72"/>
  <c r="I4" i="72"/>
  <c r="F8" i="70"/>
  <c r="F10" i="70" s="1"/>
  <c r="E8" i="70"/>
  <c r="E10" i="70" s="1"/>
  <c r="M22" i="68"/>
  <c r="M23" i="68" s="1"/>
  <c r="M22" i="67"/>
  <c r="M23" i="67" s="1"/>
  <c r="B17" i="66"/>
  <c r="B14" i="66"/>
  <c r="H10" i="66"/>
  <c r="K10" i="66" s="1"/>
  <c r="F10" i="66"/>
  <c r="G10" i="66" s="1"/>
  <c r="H9" i="66"/>
  <c r="K9" i="66" s="1"/>
  <c r="F9" i="66"/>
  <c r="G9" i="66" s="1"/>
  <c r="H8" i="66"/>
  <c r="K8" i="66" s="1"/>
  <c r="F8" i="66"/>
  <c r="G8" i="66" s="1"/>
  <c r="H7" i="66"/>
  <c r="K7" i="66" s="1"/>
  <c r="F7" i="66"/>
  <c r="G7" i="66" s="1"/>
  <c r="H6" i="66"/>
  <c r="K6" i="66" s="1"/>
  <c r="F6" i="66"/>
  <c r="G6" i="66" s="1"/>
  <c r="H5" i="66"/>
  <c r="K5" i="66" s="1"/>
  <c r="F5" i="66"/>
  <c r="E5" i="66"/>
  <c r="K4" i="66"/>
  <c r="F4" i="66"/>
  <c r="G4" i="66" s="1"/>
  <c r="L4" i="66" s="1"/>
  <c r="K3" i="66"/>
  <c r="F3" i="66"/>
  <c r="G3" i="66" s="1"/>
  <c r="L3" i="66" s="1"/>
  <c r="K2" i="66"/>
  <c r="F2" i="66"/>
  <c r="G2" i="66" s="1"/>
  <c r="L2" i="66" s="1"/>
  <c r="R58" i="64"/>
  <c r="Q58" i="64"/>
  <c r="P58" i="64"/>
  <c r="O58" i="64"/>
  <c r="L58" i="64"/>
  <c r="K58" i="64"/>
  <c r="J58" i="64"/>
  <c r="I58" i="64"/>
  <c r="H58" i="64"/>
  <c r="G58" i="64"/>
  <c r="F58" i="64"/>
  <c r="E58" i="64"/>
  <c r="R57" i="64"/>
  <c r="Q57" i="64"/>
  <c r="P57" i="64"/>
  <c r="O57" i="64"/>
  <c r="L57" i="64"/>
  <c r="K57" i="64"/>
  <c r="J57" i="64"/>
  <c r="I57" i="64"/>
  <c r="H57" i="64"/>
  <c r="G57" i="64"/>
  <c r="F57" i="64"/>
  <c r="E57" i="64"/>
  <c r="R56" i="64"/>
  <c r="Q56" i="64"/>
  <c r="P56" i="64"/>
  <c r="O56" i="64"/>
  <c r="L56" i="64"/>
  <c r="K56" i="64"/>
  <c r="J56" i="64"/>
  <c r="I56" i="64"/>
  <c r="H56" i="64"/>
  <c r="G56" i="64"/>
  <c r="F56" i="64"/>
  <c r="E56" i="64"/>
  <c r="S30" i="64"/>
  <c r="R30" i="64"/>
  <c r="G30" i="64"/>
  <c r="H30" i="64" s="1"/>
  <c r="S28" i="64"/>
  <c r="R28" i="64"/>
  <c r="G28" i="64"/>
  <c r="H28" i="64" s="1"/>
  <c r="U25" i="64"/>
  <c r="T25" i="64"/>
  <c r="S25" i="64"/>
  <c r="R25" i="64"/>
  <c r="Q25" i="64"/>
  <c r="P25" i="64"/>
  <c r="J25" i="64"/>
  <c r="I25" i="64"/>
  <c r="H25" i="64"/>
  <c r="G25" i="64"/>
  <c r="F25" i="64"/>
  <c r="E25" i="64"/>
  <c r="U24" i="64"/>
  <c r="T24" i="64"/>
  <c r="S24" i="64"/>
  <c r="R24" i="64"/>
  <c r="Q24" i="64"/>
  <c r="P24" i="64"/>
  <c r="J24" i="64"/>
  <c r="I24" i="64"/>
  <c r="H24" i="64"/>
  <c r="G24" i="64"/>
  <c r="F24" i="64"/>
  <c r="E24" i="64"/>
  <c r="U23" i="64"/>
  <c r="T23" i="64"/>
  <c r="S23" i="64"/>
  <c r="R23" i="64"/>
  <c r="Q23" i="64"/>
  <c r="P23" i="64"/>
  <c r="J23" i="64"/>
  <c r="I23" i="64"/>
  <c r="H23" i="64"/>
  <c r="G23" i="64"/>
  <c r="F23" i="64"/>
  <c r="E23" i="64"/>
  <c r="U22" i="64"/>
  <c r="T22" i="64"/>
  <c r="S22" i="64"/>
  <c r="S27" i="64" s="1"/>
  <c r="R22" i="64"/>
  <c r="R27" i="64" s="1"/>
  <c r="Q22" i="64"/>
  <c r="P22" i="64"/>
  <c r="J22" i="64"/>
  <c r="I22" i="64"/>
  <c r="H22" i="64"/>
  <c r="H27" i="64" s="1"/>
  <c r="G22" i="64"/>
  <c r="G27" i="64" s="1"/>
  <c r="F22" i="64"/>
  <c r="E22" i="64"/>
  <c r="AA21" i="64"/>
  <c r="AB23" i="64" s="1"/>
  <c r="U21" i="64"/>
  <c r="T21" i="64"/>
  <c r="S21" i="64"/>
  <c r="R21" i="64"/>
  <c r="Q21" i="64"/>
  <c r="P21" i="64"/>
  <c r="J21" i="64"/>
  <c r="I21" i="64"/>
  <c r="H21" i="64"/>
  <c r="G21" i="64"/>
  <c r="F21" i="64"/>
  <c r="E21" i="64"/>
  <c r="U20" i="64"/>
  <c r="T20" i="64"/>
  <c r="S20" i="64"/>
  <c r="R20" i="64"/>
  <c r="Q20" i="64"/>
  <c r="P20" i="64"/>
  <c r="J20" i="64"/>
  <c r="I20" i="64"/>
  <c r="H20" i="64"/>
  <c r="G20" i="64"/>
  <c r="F20" i="64"/>
  <c r="E20" i="64"/>
  <c r="L23" i="63"/>
  <c r="K23" i="63"/>
  <c r="J23" i="63"/>
  <c r="I23" i="63"/>
  <c r="H23" i="63"/>
  <c r="G23" i="63"/>
  <c r="F23" i="63"/>
  <c r="E23" i="63"/>
  <c r="L22" i="63"/>
  <c r="K22" i="63"/>
  <c r="J22" i="63"/>
  <c r="I22" i="63"/>
  <c r="H22" i="63"/>
  <c r="G22" i="63"/>
  <c r="F22" i="63"/>
  <c r="E22" i="63"/>
  <c r="L21" i="63"/>
  <c r="K21" i="63"/>
  <c r="J21" i="63"/>
  <c r="I21" i="63"/>
  <c r="H21" i="63"/>
  <c r="G21" i="63"/>
  <c r="F21" i="63"/>
  <c r="E21" i="63"/>
  <c r="G29" i="64" l="1"/>
  <c r="G31" i="64" s="1"/>
  <c r="R29" i="64"/>
  <c r="R31" i="64" s="1"/>
  <c r="G5" i="66"/>
  <c r="L10" i="66"/>
  <c r="L7" i="66"/>
  <c r="L5" i="66"/>
  <c r="L9" i="66"/>
  <c r="L6" i="66"/>
  <c r="S29" i="64"/>
  <c r="S31" i="64" s="1"/>
  <c r="H29" i="64"/>
  <c r="H31" i="64" s="1"/>
  <c r="L8" i="66"/>
  <c r="AY99" i="53" l="1"/>
  <c r="AW79" i="53"/>
  <c r="AV79" i="53"/>
  <c r="BA77" i="53"/>
  <c r="BA101" i="53" s="1"/>
  <c r="AZ77" i="53"/>
  <c r="AZ101" i="53" s="1"/>
  <c r="AY77" i="53"/>
  <c r="AY101" i="53" s="1"/>
  <c r="AX77" i="53"/>
  <c r="AX101" i="53" s="1"/>
  <c r="AW77" i="53"/>
  <c r="AW101" i="53" s="1"/>
  <c r="AV77" i="53"/>
  <c r="AV101" i="53" s="1"/>
  <c r="AT77" i="53"/>
  <c r="AS77" i="53"/>
  <c r="AR77" i="53"/>
  <c r="BA76" i="53"/>
  <c r="BA100" i="53" s="1"/>
  <c r="AZ76" i="53"/>
  <c r="AZ100" i="53" s="1"/>
  <c r="AY76" i="53"/>
  <c r="AY100" i="53" s="1"/>
  <c r="AX76" i="53"/>
  <c r="AX100" i="53" s="1"/>
  <c r="AW76" i="53"/>
  <c r="AW100" i="53" s="1"/>
  <c r="AV76" i="53"/>
  <c r="AV100" i="53" s="1"/>
  <c r="AT76" i="53"/>
  <c r="AS76" i="53"/>
  <c r="AR76" i="53"/>
  <c r="AT75" i="53"/>
  <c r="AS75" i="53"/>
  <c r="AR75" i="53"/>
  <c r="AT74" i="53"/>
  <c r="AS74" i="53"/>
  <c r="AR74" i="53"/>
  <c r="AU68" i="53"/>
  <c r="AT68" i="53"/>
  <c r="AS68" i="53"/>
  <c r="AR68" i="53"/>
  <c r="AB68" i="53"/>
  <c r="AK65" i="53"/>
  <c r="AK72" i="53" s="1"/>
  <c r="AJ65" i="53"/>
  <c r="AJ72" i="53" s="1"/>
  <c r="AI65" i="53"/>
  <c r="AI72" i="53" s="1"/>
  <c r="AH65" i="53"/>
  <c r="AH72" i="53" s="1"/>
  <c r="AA65" i="53"/>
  <c r="AA72" i="53" s="1"/>
  <c r="Z65" i="53"/>
  <c r="Z72" i="53" s="1"/>
  <c r="Y65" i="53"/>
  <c r="Y72" i="53" s="1"/>
  <c r="X65" i="53"/>
  <c r="X72" i="53" s="1"/>
  <c r="AU64" i="53"/>
  <c r="AV64" i="53" s="1"/>
  <c r="AT64" i="53"/>
  <c r="AS64" i="53"/>
  <c r="AR64" i="53"/>
  <c r="AU63" i="53"/>
  <c r="AT63" i="53"/>
  <c r="AS63" i="53"/>
  <c r="AR63" i="53"/>
  <c r="AU62" i="53"/>
  <c r="AT62" i="53"/>
  <c r="AS62" i="53"/>
  <c r="AR62" i="53"/>
  <c r="AU61" i="53"/>
  <c r="AT61" i="53"/>
  <c r="AS61" i="53"/>
  <c r="AR61" i="53"/>
  <c r="AU60" i="53"/>
  <c r="AT60" i="53"/>
  <c r="AS60" i="53"/>
  <c r="AR60" i="53"/>
  <c r="AU59" i="53"/>
  <c r="AT59" i="53"/>
  <c r="AS59" i="53"/>
  <c r="AR59" i="53"/>
  <c r="AU58" i="53"/>
  <c r="AV58" i="53" s="1"/>
  <c r="AW58" i="53" s="1"/>
  <c r="AX58" i="53" s="1"/>
  <c r="AY58" i="53" s="1"/>
  <c r="AZ58" i="53" s="1"/>
  <c r="BA58" i="53" s="1"/>
  <c r="AT58" i="53"/>
  <c r="AS58" i="53"/>
  <c r="AR58" i="53"/>
  <c r="AU57" i="53"/>
  <c r="AV57" i="53" s="1"/>
  <c r="AW57" i="53" s="1"/>
  <c r="AX57" i="53" s="1"/>
  <c r="AY57" i="53" s="1"/>
  <c r="AZ57" i="53" s="1"/>
  <c r="BA57" i="53" s="1"/>
  <c r="AT57" i="53"/>
  <c r="AS57" i="53"/>
  <c r="AR57" i="53"/>
  <c r="AU56" i="53"/>
  <c r="AZ56" i="53" s="1"/>
  <c r="AT56" i="53"/>
  <c r="AS56" i="53"/>
  <c r="AR56" i="53"/>
  <c r="L36" i="53"/>
  <c r="K36" i="53"/>
  <c r="J36" i="53"/>
  <c r="I36" i="53"/>
  <c r="H36" i="53"/>
  <c r="L33" i="53"/>
  <c r="L21" i="53" s="1"/>
  <c r="K33" i="53"/>
  <c r="K21" i="53" s="1"/>
  <c r="J33" i="53"/>
  <c r="J21" i="53" s="1"/>
  <c r="I33" i="53"/>
  <c r="I21" i="53" s="1"/>
  <c r="F30" i="53"/>
  <c r="F32" i="53" s="1"/>
  <c r="F36" i="53" s="1"/>
  <c r="L29" i="53"/>
  <c r="K29" i="53"/>
  <c r="J29" i="53"/>
  <c r="I29" i="53"/>
  <c r="G23" i="53"/>
  <c r="H29" i="53" s="1"/>
  <c r="F23" i="53"/>
  <c r="E23" i="53"/>
  <c r="W19" i="53"/>
  <c r="W20" i="53" s="1"/>
  <c r="W21" i="53" s="1"/>
  <c r="X16" i="53"/>
  <c r="W16" i="53"/>
  <c r="L15" i="53"/>
  <c r="L30" i="53" s="1"/>
  <c r="L31" i="53" s="1"/>
  <c r="K15" i="53"/>
  <c r="K30" i="53" s="1"/>
  <c r="K31" i="53" s="1"/>
  <c r="J15" i="53"/>
  <c r="J30" i="53" s="1"/>
  <c r="J31" i="53" s="1"/>
  <c r="I15" i="53"/>
  <c r="H15" i="53"/>
  <c r="H30" i="53" s="1"/>
  <c r="H31" i="53" s="1"/>
  <c r="G15" i="53"/>
  <c r="F15" i="53"/>
  <c r="E15" i="53"/>
  <c r="AE12" i="53"/>
  <c r="AD12" i="53"/>
  <c r="AC12" i="53"/>
  <c r="AB12" i="53"/>
  <c r="AA12" i="53"/>
  <c r="Z12" i="53"/>
  <c r="AE11" i="53"/>
  <c r="AD11" i="53"/>
  <c r="AC11" i="53"/>
  <c r="AB11" i="53"/>
  <c r="AA11" i="53"/>
  <c r="Z11" i="53"/>
  <c r="M11" i="53"/>
  <c r="L11" i="53"/>
  <c r="K11" i="53"/>
  <c r="J11" i="53"/>
  <c r="I11" i="53"/>
  <c r="H11" i="53"/>
  <c r="G11" i="53"/>
  <c r="F11" i="53"/>
  <c r="E11" i="53"/>
  <c r="AE10" i="53"/>
  <c r="AD10" i="53"/>
  <c r="AC10" i="53"/>
  <c r="AB10" i="53"/>
  <c r="AA10" i="53"/>
  <c r="Z10" i="53"/>
  <c r="M10" i="53"/>
  <c r="L10" i="53"/>
  <c r="K10" i="53"/>
  <c r="J10" i="53"/>
  <c r="I10" i="53"/>
  <c r="H10" i="53"/>
  <c r="G10" i="53"/>
  <c r="F10" i="53"/>
  <c r="E10" i="53"/>
  <c r="E8" i="50"/>
  <c r="E7" i="50"/>
  <c r="D8" i="50"/>
  <c r="D7" i="50"/>
  <c r="E112" i="1"/>
  <c r="E122" i="1" s="1"/>
  <c r="E106" i="1"/>
  <c r="D18" i="1"/>
  <c r="X13" i="45"/>
  <c r="AE14" i="45"/>
  <c r="AF14" i="45" s="1"/>
  <c r="AG14" i="45" s="1"/>
  <c r="AH14" i="45" s="1"/>
  <c r="AB7" i="45"/>
  <c r="AB6" i="45"/>
  <c r="J13" i="45"/>
  <c r="K13" i="45"/>
  <c r="L13" i="45"/>
  <c r="M13" i="45"/>
  <c r="N13" i="45"/>
  <c r="O13" i="45"/>
  <c r="P13" i="45"/>
  <c r="Q13" i="45"/>
  <c r="R13" i="45"/>
  <c r="S13" i="45"/>
  <c r="T13" i="45"/>
  <c r="U13" i="45"/>
  <c r="V13" i="45"/>
  <c r="W13" i="45"/>
  <c r="I13" i="45"/>
  <c r="AI7" i="42"/>
  <c r="G76" i="1"/>
  <c r="K19" i="17"/>
  <c r="J19" i="17"/>
  <c r="I19" i="17"/>
  <c r="K13" i="17"/>
  <c r="J13" i="17"/>
  <c r="I13" i="17"/>
  <c r="J7" i="17"/>
  <c r="I7" i="17"/>
  <c r="K7" i="17"/>
  <c r="AT67" i="53" l="1"/>
  <c r="BA56" i="53"/>
  <c r="BA75" i="53" s="1"/>
  <c r="BA99" i="53" s="1"/>
  <c r="G30" i="53"/>
  <c r="G32" i="53" s="1"/>
  <c r="H33" i="53" s="1"/>
  <c r="H21" i="53" s="1"/>
  <c r="AX56" i="53"/>
  <c r="D10" i="50"/>
  <c r="AR67" i="53"/>
  <c r="AA13" i="53"/>
  <c r="AB13" i="53"/>
  <c r="E9" i="50"/>
  <c r="AC13" i="53"/>
  <c r="E10" i="50"/>
  <c r="AS67" i="53"/>
  <c r="C10" i="50"/>
  <c r="C9" i="50"/>
  <c r="J22" i="53"/>
  <c r="AS65" i="53"/>
  <c r="AS70" i="53" s="1"/>
  <c r="D9" i="50"/>
  <c r="Z13" i="53"/>
  <c r="H22" i="53"/>
  <c r="AV56" i="53"/>
  <c r="AV75" i="53" s="1"/>
  <c r="AV99" i="53" s="1"/>
  <c r="AE13" i="53"/>
  <c r="E30" i="53"/>
  <c r="E32" i="53" s="1"/>
  <c r="E36" i="53" s="1"/>
  <c r="AW56" i="53"/>
  <c r="AR65" i="53"/>
  <c r="AR70" i="53" s="1"/>
  <c r="AD13" i="53"/>
  <c r="BA113" i="53"/>
  <c r="AW113" i="53"/>
  <c r="AZ113" i="53"/>
  <c r="AV113" i="53"/>
  <c r="AY113" i="53"/>
  <c r="AX113" i="53"/>
  <c r="AW64" i="53"/>
  <c r="AV109" i="53"/>
  <c r="AT65" i="53"/>
  <c r="AT70" i="53" s="1"/>
  <c r="AL68" i="53"/>
  <c r="AV89" i="53" s="1"/>
  <c r="AV91" i="53" s="1"/>
  <c r="AC68" i="53"/>
  <c r="AU67" i="53"/>
  <c r="AV59" i="53"/>
  <c r="AV103" i="53" s="1"/>
  <c r="K22" i="53"/>
  <c r="L22" i="53"/>
  <c r="AU65" i="53"/>
  <c r="AU70" i="53" s="1"/>
  <c r="I30" i="53"/>
  <c r="I31" i="53" s="1"/>
  <c r="I22" i="53"/>
  <c r="AY56" i="53"/>
  <c r="R24" i="45"/>
  <c r="E26" i="45"/>
  <c r="AY99" i="30"/>
  <c r="AW79" i="30"/>
  <c r="AV79" i="30"/>
  <c r="BA77" i="30"/>
  <c r="BA101" i="30" s="1"/>
  <c r="AZ77" i="30"/>
  <c r="AZ101" i="30" s="1"/>
  <c r="AY77" i="30"/>
  <c r="AY101" i="30" s="1"/>
  <c r="AX77" i="30"/>
  <c r="AX101" i="30" s="1"/>
  <c r="AW77" i="30"/>
  <c r="AW101" i="30" s="1"/>
  <c r="AV77" i="30"/>
  <c r="AV101" i="30" s="1"/>
  <c r="AT77" i="30"/>
  <c r="AS77" i="30"/>
  <c r="AR77" i="30"/>
  <c r="BA76" i="30"/>
  <c r="BA100" i="30" s="1"/>
  <c r="AZ76" i="30"/>
  <c r="AZ100" i="30" s="1"/>
  <c r="AY76" i="30"/>
  <c r="AY100" i="30" s="1"/>
  <c r="AX76" i="30"/>
  <c r="AX100" i="30" s="1"/>
  <c r="AW76" i="30"/>
  <c r="AW100" i="30" s="1"/>
  <c r="AV76" i="30"/>
  <c r="AV100" i="30" s="1"/>
  <c r="AT76" i="30"/>
  <c r="AS76" i="30"/>
  <c r="AR76" i="30"/>
  <c r="AT75" i="30"/>
  <c r="AS75" i="30"/>
  <c r="AR75" i="30"/>
  <c r="AT74" i="30"/>
  <c r="AS74" i="30"/>
  <c r="AR74" i="30"/>
  <c r="AU68" i="30"/>
  <c r="AT68" i="30"/>
  <c r="AS68" i="30"/>
  <c r="AR68" i="30"/>
  <c r="AB68" i="30"/>
  <c r="AC68" i="30" s="1"/>
  <c r="AK65" i="30"/>
  <c r="AK72" i="30" s="1"/>
  <c r="AJ65" i="30"/>
  <c r="AJ72" i="30" s="1"/>
  <c r="AI65" i="30"/>
  <c r="AI72" i="30" s="1"/>
  <c r="AH65" i="30"/>
  <c r="AH72" i="30" s="1"/>
  <c r="AA65" i="30"/>
  <c r="AA72" i="30" s="1"/>
  <c r="Z65" i="30"/>
  <c r="Z72" i="30" s="1"/>
  <c r="Y65" i="30"/>
  <c r="Y72" i="30" s="1"/>
  <c r="X65" i="30"/>
  <c r="X72" i="30" s="1"/>
  <c r="AU64" i="30"/>
  <c r="AV64" i="30" s="1"/>
  <c r="AW64" i="30" s="1"/>
  <c r="AT64" i="30"/>
  <c r="AS64" i="30"/>
  <c r="AR64" i="30"/>
  <c r="AU63" i="30"/>
  <c r="AT63" i="30"/>
  <c r="AS63" i="30"/>
  <c r="AR63" i="30"/>
  <c r="AU62" i="30"/>
  <c r="AT62" i="30"/>
  <c r="AS62" i="30"/>
  <c r="AR62" i="30"/>
  <c r="AU61" i="30"/>
  <c r="AT61" i="30"/>
  <c r="AS61" i="30"/>
  <c r="AR61" i="30"/>
  <c r="AU60" i="30"/>
  <c r="AT60" i="30"/>
  <c r="AS60" i="30"/>
  <c r="AR60" i="30"/>
  <c r="AU59" i="30"/>
  <c r="AV59" i="30" s="1"/>
  <c r="AT59" i="30"/>
  <c r="AS59" i="30"/>
  <c r="AR59" i="30"/>
  <c r="AU58" i="30"/>
  <c r="AV58" i="30" s="1"/>
  <c r="AW58" i="30" s="1"/>
  <c r="AX58" i="30" s="1"/>
  <c r="AY58" i="30" s="1"/>
  <c r="AZ58" i="30" s="1"/>
  <c r="BA58" i="30" s="1"/>
  <c r="AT58" i="30"/>
  <c r="AS58" i="30"/>
  <c r="AR58" i="30"/>
  <c r="AU57" i="30"/>
  <c r="AV57" i="30" s="1"/>
  <c r="AW57" i="30" s="1"/>
  <c r="AX57" i="30" s="1"/>
  <c r="AY57" i="30" s="1"/>
  <c r="AZ57" i="30" s="1"/>
  <c r="BA57" i="30" s="1"/>
  <c r="AT57" i="30"/>
  <c r="AS57" i="30"/>
  <c r="AR57" i="30"/>
  <c r="AU56" i="30"/>
  <c r="AZ56" i="30" s="1"/>
  <c r="AT56" i="30"/>
  <c r="AS56" i="30"/>
  <c r="AR56" i="30"/>
  <c r="L36" i="30"/>
  <c r="K36" i="30"/>
  <c r="J36" i="30"/>
  <c r="I36" i="30"/>
  <c r="H36" i="30"/>
  <c r="L33" i="30"/>
  <c r="L21" i="30" s="1"/>
  <c r="K33" i="30"/>
  <c r="K21" i="30" s="1"/>
  <c r="J33" i="30"/>
  <c r="J21" i="30" s="1"/>
  <c r="I33" i="30"/>
  <c r="I21" i="30" s="1"/>
  <c r="F30" i="30"/>
  <c r="F32" i="30" s="1"/>
  <c r="F36" i="30" s="1"/>
  <c r="L29" i="30"/>
  <c r="K29" i="30"/>
  <c r="J29" i="30"/>
  <c r="I29" i="30"/>
  <c r="G23" i="30"/>
  <c r="H29" i="30" s="1"/>
  <c r="F23" i="30"/>
  <c r="E23" i="30"/>
  <c r="W19" i="30"/>
  <c r="W20" i="30" s="1"/>
  <c r="W21" i="30" s="1"/>
  <c r="X16" i="30"/>
  <c r="W16" i="30"/>
  <c r="L15" i="30"/>
  <c r="L30" i="30" s="1"/>
  <c r="L31" i="30" s="1"/>
  <c r="K15" i="30"/>
  <c r="K30" i="30" s="1"/>
  <c r="K31" i="30" s="1"/>
  <c r="J15" i="30"/>
  <c r="I15" i="30"/>
  <c r="H15" i="30"/>
  <c r="H30" i="30" s="1"/>
  <c r="H31" i="30" s="1"/>
  <c r="G15" i="30"/>
  <c r="F15" i="30"/>
  <c r="E15" i="30"/>
  <c r="AE12" i="30"/>
  <c r="AD12" i="30"/>
  <c r="AC12" i="30"/>
  <c r="AB12" i="30"/>
  <c r="AA12" i="30"/>
  <c r="Z12" i="30"/>
  <c r="AE11" i="30"/>
  <c r="AD11" i="30"/>
  <c r="AC11" i="30"/>
  <c r="AB11" i="30"/>
  <c r="AA11" i="30"/>
  <c r="Z11" i="30"/>
  <c r="M11" i="30"/>
  <c r="L11" i="30"/>
  <c r="K11" i="30"/>
  <c r="J11" i="30"/>
  <c r="I11" i="30"/>
  <c r="H11" i="30"/>
  <c r="G11" i="30"/>
  <c r="F11" i="30"/>
  <c r="E11" i="30"/>
  <c r="AE10" i="30"/>
  <c r="AD10" i="30"/>
  <c r="AC10" i="30"/>
  <c r="AB10" i="30"/>
  <c r="AA10" i="30"/>
  <c r="Z10" i="30"/>
  <c r="M10" i="30"/>
  <c r="L10" i="30"/>
  <c r="K10" i="30"/>
  <c r="J10" i="30"/>
  <c r="I10" i="30"/>
  <c r="H10" i="30"/>
  <c r="G10" i="30"/>
  <c r="F10" i="30"/>
  <c r="E10" i="30"/>
  <c r="AX75" i="53" l="1"/>
  <c r="AX99" i="53" s="1"/>
  <c r="G36" i="53"/>
  <c r="AW75" i="53"/>
  <c r="AW99" i="53" s="1"/>
  <c r="AW109" i="53"/>
  <c r="AX64" i="53"/>
  <c r="AZ75" i="53"/>
  <c r="AZ99" i="53" s="1"/>
  <c r="AM68" i="53"/>
  <c r="AW89" i="53" s="1"/>
  <c r="AW91" i="53" s="1"/>
  <c r="AD68" i="53"/>
  <c r="AW59" i="53"/>
  <c r="AV68" i="53"/>
  <c r="AV112" i="53" s="1"/>
  <c r="K22" i="30"/>
  <c r="AS67" i="30"/>
  <c r="Z13" i="30"/>
  <c r="E30" i="30"/>
  <c r="E32" i="30" s="1"/>
  <c r="E36" i="30" s="1"/>
  <c r="AV56" i="30"/>
  <c r="AV75" i="30" s="1"/>
  <c r="AV99" i="30" s="1"/>
  <c r="BA56" i="30"/>
  <c r="BA75" i="30" s="1"/>
  <c r="BA99" i="30" s="1"/>
  <c r="AC13" i="30"/>
  <c r="AT65" i="30"/>
  <c r="AT70" i="30" s="1"/>
  <c r="AR67" i="30"/>
  <c r="AD13" i="30"/>
  <c r="G30" i="30"/>
  <c r="G32" i="30" s="1"/>
  <c r="G36" i="30" s="1"/>
  <c r="AT67" i="30"/>
  <c r="AA13" i="30"/>
  <c r="AB13" i="30"/>
  <c r="AR65" i="30"/>
  <c r="AR70" i="30" s="1"/>
  <c r="AS65" i="30"/>
  <c r="AS70" i="30" s="1"/>
  <c r="AE13" i="30"/>
  <c r="J30" i="30"/>
  <c r="J31" i="30" s="1"/>
  <c r="AU65" i="30"/>
  <c r="AU70" i="30" s="1"/>
  <c r="AW56" i="30"/>
  <c r="J22" i="30"/>
  <c r="AU67" i="30"/>
  <c r="AV103" i="30"/>
  <c r="I30" i="30"/>
  <c r="I31" i="30" s="1"/>
  <c r="I22" i="30"/>
  <c r="BA113" i="30"/>
  <c r="AW113" i="30"/>
  <c r="AZ113" i="30"/>
  <c r="AV113" i="30"/>
  <c r="AY113" i="30"/>
  <c r="AX113" i="30"/>
  <c r="AX64" i="30"/>
  <c r="AW109" i="30"/>
  <c r="AD68" i="30"/>
  <c r="AW59" i="30"/>
  <c r="AW103" i="30" s="1"/>
  <c r="AV109" i="30"/>
  <c r="H22" i="30"/>
  <c r="L22" i="30"/>
  <c r="AX56" i="30"/>
  <c r="AL68" i="30"/>
  <c r="AV89" i="30" s="1"/>
  <c r="AV91" i="30" s="1"/>
  <c r="AY56" i="30"/>
  <c r="F10" i="21"/>
  <c r="F12" i="21"/>
  <c r="C12" i="21"/>
  <c r="P60" i="38"/>
  <c r="Q60" i="38" s="1"/>
  <c r="AY99" i="49"/>
  <c r="AW79" i="49"/>
  <c r="AV79" i="49"/>
  <c r="BA77" i="49"/>
  <c r="BA101" i="49" s="1"/>
  <c r="AZ77" i="49"/>
  <c r="AZ101" i="49" s="1"/>
  <c r="AY77" i="49"/>
  <c r="AY101" i="49" s="1"/>
  <c r="AX77" i="49"/>
  <c r="AX101" i="49" s="1"/>
  <c r="AW77" i="49"/>
  <c r="AW101" i="49" s="1"/>
  <c r="AV77" i="49"/>
  <c r="AV101" i="49" s="1"/>
  <c r="AT77" i="49"/>
  <c r="AS77" i="49"/>
  <c r="AR77" i="49"/>
  <c r="BA76" i="49"/>
  <c r="BA100" i="49" s="1"/>
  <c r="AZ76" i="49"/>
  <c r="AZ100" i="49" s="1"/>
  <c r="AY76" i="49"/>
  <c r="AY100" i="49" s="1"/>
  <c r="AX76" i="49"/>
  <c r="AX100" i="49" s="1"/>
  <c r="AW76" i="49"/>
  <c r="AW100" i="49" s="1"/>
  <c r="AV76" i="49"/>
  <c r="AV100" i="49" s="1"/>
  <c r="AT76" i="49"/>
  <c r="AS76" i="49"/>
  <c r="AR76" i="49"/>
  <c r="AT75" i="49"/>
  <c r="AS75" i="49"/>
  <c r="AR75" i="49"/>
  <c r="AT74" i="49"/>
  <c r="AS74" i="49"/>
  <c r="AR74" i="49"/>
  <c r="AU68" i="49"/>
  <c r="AT68" i="49"/>
  <c r="AS68" i="49"/>
  <c r="AR68" i="49"/>
  <c r="AB68" i="49"/>
  <c r="AL68" i="49" s="1"/>
  <c r="AV89" i="49" s="1"/>
  <c r="AV91" i="49" s="1"/>
  <c r="AK65" i="49"/>
  <c r="AK72" i="49" s="1"/>
  <c r="AJ65" i="49"/>
  <c r="AJ72" i="49" s="1"/>
  <c r="AI65" i="49"/>
  <c r="AI72" i="49" s="1"/>
  <c r="AH65" i="49"/>
  <c r="AH72" i="49" s="1"/>
  <c r="AA65" i="49"/>
  <c r="AA72" i="49" s="1"/>
  <c r="Z65" i="49"/>
  <c r="Z72" i="49" s="1"/>
  <c r="Y65" i="49"/>
  <c r="Y72" i="49" s="1"/>
  <c r="X65" i="49"/>
  <c r="X72" i="49" s="1"/>
  <c r="AU64" i="49"/>
  <c r="AV64" i="49" s="1"/>
  <c r="AT64" i="49"/>
  <c r="AS64" i="49"/>
  <c r="AR64" i="49"/>
  <c r="AU63" i="49"/>
  <c r="AT63" i="49"/>
  <c r="AS63" i="49"/>
  <c r="AR63" i="49"/>
  <c r="AU62" i="49"/>
  <c r="AT62" i="49"/>
  <c r="AS62" i="49"/>
  <c r="AR62" i="49"/>
  <c r="AU61" i="49"/>
  <c r="AT61" i="49"/>
  <c r="AS61" i="49"/>
  <c r="AR61" i="49"/>
  <c r="AU60" i="49"/>
  <c r="AT60" i="49"/>
  <c r="AS60" i="49"/>
  <c r="AR60" i="49"/>
  <c r="AU59" i="49"/>
  <c r="AV59" i="49" s="1"/>
  <c r="AT59" i="49"/>
  <c r="AS59" i="49"/>
  <c r="AR59" i="49"/>
  <c r="AU58" i="49"/>
  <c r="AV58" i="49" s="1"/>
  <c r="AW58" i="49" s="1"/>
  <c r="AX58" i="49" s="1"/>
  <c r="AY58" i="49" s="1"/>
  <c r="AZ58" i="49" s="1"/>
  <c r="BA58" i="49" s="1"/>
  <c r="AT58" i="49"/>
  <c r="AS58" i="49"/>
  <c r="AR58" i="49"/>
  <c r="AU57" i="49"/>
  <c r="AV57" i="49" s="1"/>
  <c r="AW57" i="49" s="1"/>
  <c r="AX57" i="49" s="1"/>
  <c r="AY57" i="49" s="1"/>
  <c r="AZ57" i="49" s="1"/>
  <c r="BA57" i="49" s="1"/>
  <c r="AT57" i="49"/>
  <c r="AS57" i="49"/>
  <c r="AR57" i="49"/>
  <c r="AU56" i="49"/>
  <c r="AT56" i="49"/>
  <c r="AS56" i="49"/>
  <c r="AR56" i="49"/>
  <c r="L36" i="49"/>
  <c r="K36" i="49"/>
  <c r="J36" i="49"/>
  <c r="I36" i="49"/>
  <c r="H36" i="49"/>
  <c r="L33" i="49"/>
  <c r="L21" i="49" s="1"/>
  <c r="K33" i="49"/>
  <c r="K21" i="49" s="1"/>
  <c r="J33" i="49"/>
  <c r="J21" i="49" s="1"/>
  <c r="I33" i="49"/>
  <c r="I21" i="49" s="1"/>
  <c r="F30" i="49"/>
  <c r="F32" i="49" s="1"/>
  <c r="F36" i="49" s="1"/>
  <c r="L29" i="49"/>
  <c r="K29" i="49"/>
  <c r="J29" i="49"/>
  <c r="I29" i="49"/>
  <c r="G23" i="49"/>
  <c r="H29" i="49" s="1"/>
  <c r="F23" i="49"/>
  <c r="E23" i="49"/>
  <c r="W19" i="49"/>
  <c r="W20" i="49" s="1"/>
  <c r="W21" i="49" s="1"/>
  <c r="X16" i="49"/>
  <c r="W16" i="49"/>
  <c r="L15" i="49"/>
  <c r="K15" i="49"/>
  <c r="K30" i="49" s="1"/>
  <c r="K31" i="49" s="1"/>
  <c r="J15" i="49"/>
  <c r="I15" i="49"/>
  <c r="I30" i="49" s="1"/>
  <c r="I31" i="49" s="1"/>
  <c r="H15" i="49"/>
  <c r="G15" i="49"/>
  <c r="F15" i="49"/>
  <c r="E15" i="49"/>
  <c r="AE12" i="49"/>
  <c r="AD12" i="49"/>
  <c r="AC12" i="49"/>
  <c r="AB12" i="49"/>
  <c r="AA12" i="49"/>
  <c r="Z12" i="49"/>
  <c r="AE11" i="49"/>
  <c r="AD11" i="49"/>
  <c r="AC11" i="49"/>
  <c r="AB11" i="49"/>
  <c r="AA11" i="49"/>
  <c r="Z11" i="49"/>
  <c r="M11" i="49"/>
  <c r="L11" i="49"/>
  <c r="K11" i="49"/>
  <c r="J11" i="49"/>
  <c r="I11" i="49"/>
  <c r="H11" i="49"/>
  <c r="G11" i="49"/>
  <c r="F11" i="49"/>
  <c r="E11" i="49"/>
  <c r="AE10" i="49"/>
  <c r="AD10" i="49"/>
  <c r="AC10" i="49"/>
  <c r="AB10" i="49"/>
  <c r="AA10" i="49"/>
  <c r="Z10" i="49"/>
  <c r="M10" i="49"/>
  <c r="L10" i="49"/>
  <c r="K10" i="49"/>
  <c r="J10" i="49"/>
  <c r="I10" i="49"/>
  <c r="H10" i="49"/>
  <c r="G10" i="49"/>
  <c r="F10" i="49"/>
  <c r="E10" i="49"/>
  <c r="E28" i="45"/>
  <c r="E29" i="45" s="1"/>
  <c r="AV67" i="53" l="1"/>
  <c r="AY64" i="53"/>
  <c r="AX109" i="53"/>
  <c r="AX59" i="53"/>
  <c r="AW103" i="53"/>
  <c r="AE68" i="53"/>
  <c r="AN68" i="53"/>
  <c r="AX89" i="53" s="1"/>
  <c r="AX91" i="53" s="1"/>
  <c r="AW68" i="53"/>
  <c r="AW112" i="53" s="1"/>
  <c r="AW75" i="30"/>
  <c r="AW99" i="30" s="1"/>
  <c r="AE13" i="49"/>
  <c r="E30" i="49"/>
  <c r="E32" i="49" s="1"/>
  <c r="E36" i="49" s="1"/>
  <c r="AT67" i="49"/>
  <c r="H33" i="30"/>
  <c r="H21" i="30" s="1"/>
  <c r="AM68" i="30"/>
  <c r="AW89" i="30" s="1"/>
  <c r="AW91" i="30" s="1"/>
  <c r="H22" i="49"/>
  <c r="I22" i="49"/>
  <c r="AR67" i="49"/>
  <c r="K22" i="49"/>
  <c r="AS67" i="49"/>
  <c r="AC68" i="49"/>
  <c r="AM68" i="49" s="1"/>
  <c r="AW89" i="49" s="1"/>
  <c r="AW91" i="49" s="1"/>
  <c r="H30" i="49"/>
  <c r="H31" i="49" s="1"/>
  <c r="AS65" i="49"/>
  <c r="AS70" i="49" s="1"/>
  <c r="AR65" i="49"/>
  <c r="AR70" i="49" s="1"/>
  <c r="AT65" i="49"/>
  <c r="AT70" i="49" s="1"/>
  <c r="Z13" i="49"/>
  <c r="AC13" i="49"/>
  <c r="AD13" i="49"/>
  <c r="AV103" i="49"/>
  <c r="AB13" i="49"/>
  <c r="AV68" i="49"/>
  <c r="AV112" i="49" s="1"/>
  <c r="AZ75" i="30"/>
  <c r="AZ99" i="30" s="1"/>
  <c r="AX109" i="30"/>
  <c r="AY64" i="30"/>
  <c r="AX75" i="30"/>
  <c r="AX99" i="30" s="1"/>
  <c r="AX59" i="30"/>
  <c r="AE68" i="30"/>
  <c r="AV68" i="30"/>
  <c r="L30" i="49"/>
  <c r="L31" i="49" s="1"/>
  <c r="L22" i="49"/>
  <c r="AW113" i="49"/>
  <c r="AV113" i="49"/>
  <c r="BA113" i="49"/>
  <c r="AZ113" i="49"/>
  <c r="AY113" i="49"/>
  <c r="AX113" i="49"/>
  <c r="AW64" i="49"/>
  <c r="AV109" i="49"/>
  <c r="AW59" i="49"/>
  <c r="AA13" i="49"/>
  <c r="AZ56" i="49"/>
  <c r="AX56" i="49"/>
  <c r="AW56" i="49"/>
  <c r="AU65" i="49"/>
  <c r="AU70" i="49" s="1"/>
  <c r="AY56" i="49"/>
  <c r="AV56" i="49"/>
  <c r="BA56" i="49"/>
  <c r="J30" i="49"/>
  <c r="J31" i="49" s="1"/>
  <c r="J22" i="49"/>
  <c r="AU67" i="49"/>
  <c r="G30" i="49"/>
  <c r="G32" i="49" s="1"/>
  <c r="L117" i="1"/>
  <c r="K117" i="1"/>
  <c r="J117" i="1"/>
  <c r="I117" i="1"/>
  <c r="H120" i="1"/>
  <c r="O25" i="45"/>
  <c r="O26" i="45" s="1"/>
  <c r="J26" i="45"/>
  <c r="K26" i="45"/>
  <c r="L26" i="45"/>
  <c r="M26" i="45"/>
  <c r="N26" i="45"/>
  <c r="I26" i="45"/>
  <c r="M67" i="9"/>
  <c r="D29" i="16"/>
  <c r="E29" i="16"/>
  <c r="F29" i="16"/>
  <c r="C29" i="16"/>
  <c r="B37" i="42"/>
  <c r="B39" i="42" s="1"/>
  <c r="D39" i="42" s="1"/>
  <c r="F25" i="42"/>
  <c r="C25" i="42"/>
  <c r="G80" i="48"/>
  <c r="F80" i="48"/>
  <c r="E80" i="48"/>
  <c r="D80" i="48"/>
  <c r="C80" i="48"/>
  <c r="F66" i="48"/>
  <c r="F71" i="48" s="1"/>
  <c r="E66" i="48"/>
  <c r="E71" i="48" s="1"/>
  <c r="D66" i="48"/>
  <c r="D71" i="48" s="1"/>
  <c r="C66" i="48"/>
  <c r="C71" i="48" s="1"/>
  <c r="M63" i="48"/>
  <c r="L63" i="48"/>
  <c r="K63" i="48"/>
  <c r="J63" i="48"/>
  <c r="I63" i="48"/>
  <c r="H63" i="48"/>
  <c r="G61" i="48"/>
  <c r="G66" i="48" s="1"/>
  <c r="G71" i="48" s="1"/>
  <c r="X60" i="48"/>
  <c r="W60" i="48"/>
  <c r="V60" i="48"/>
  <c r="U60" i="48"/>
  <c r="T60" i="48"/>
  <c r="S60" i="48"/>
  <c r="M41" i="48"/>
  <c r="L41" i="48"/>
  <c r="K41" i="48"/>
  <c r="J41" i="48"/>
  <c r="I41" i="48"/>
  <c r="H41" i="48"/>
  <c r="M31" i="48"/>
  <c r="L31" i="48"/>
  <c r="K31" i="48"/>
  <c r="J31" i="48"/>
  <c r="I31" i="48"/>
  <c r="H31" i="48"/>
  <c r="M15" i="48"/>
  <c r="L15" i="48"/>
  <c r="K15" i="48"/>
  <c r="J15" i="48"/>
  <c r="I15" i="48"/>
  <c r="H15" i="48"/>
  <c r="F55" i="17"/>
  <c r="G55" i="17"/>
  <c r="H55" i="17"/>
  <c r="I55" i="17"/>
  <c r="J55" i="17"/>
  <c r="E55" i="17"/>
  <c r="E50" i="17"/>
  <c r="H41" i="17"/>
  <c r="E41" i="17" a="1"/>
  <c r="E41" i="17" s="1"/>
  <c r="B12" i="42"/>
  <c r="B38" i="17"/>
  <c r="AE37" i="42"/>
  <c r="G61" i="34"/>
  <c r="G66" i="34" s="1"/>
  <c r="G71" i="34" s="1"/>
  <c r="M73" i="42"/>
  <c r="N73" i="42"/>
  <c r="O73" i="42"/>
  <c r="P73" i="42"/>
  <c r="Q73" i="42"/>
  <c r="L73" i="42"/>
  <c r="E6" i="45"/>
  <c r="F6" i="45"/>
  <c r="G6" i="45"/>
  <c r="L51" i="42"/>
  <c r="BG43" i="11"/>
  <c r="AO68" i="53" l="1"/>
  <c r="AY89" i="53" s="1"/>
  <c r="AY91" i="53" s="1"/>
  <c r="AF68" i="53"/>
  <c r="AY109" i="53"/>
  <c r="AZ64" i="53"/>
  <c r="AY59" i="53"/>
  <c r="AX79" i="53"/>
  <c r="AX68" i="53"/>
  <c r="AX112" i="53" s="1"/>
  <c r="AW67" i="53"/>
  <c r="AN68" i="30"/>
  <c r="AX89" i="30" s="1"/>
  <c r="AX91" i="30" s="1"/>
  <c r="AW68" i="30"/>
  <c r="AW67" i="30" s="1"/>
  <c r="AV67" i="49"/>
  <c r="AD68" i="49"/>
  <c r="AN68" i="49" s="1"/>
  <c r="AX89" i="49" s="1"/>
  <c r="AX91" i="49" s="1"/>
  <c r="AW68" i="49"/>
  <c r="AW112" i="49" s="1"/>
  <c r="H6" i="45"/>
  <c r="AY59" i="30"/>
  <c r="AX79" i="30"/>
  <c r="AY109" i="30"/>
  <c r="AZ64" i="30"/>
  <c r="AV112" i="30"/>
  <c r="AV67" i="30"/>
  <c r="AF68" i="30"/>
  <c r="AX59" i="49"/>
  <c r="AX75" i="49"/>
  <c r="AX99" i="49" s="1"/>
  <c r="AW75" i="49"/>
  <c r="AW99" i="49" s="1"/>
  <c r="AZ75" i="49"/>
  <c r="AZ99" i="49" s="1"/>
  <c r="AX64" i="49"/>
  <c r="AW109" i="49"/>
  <c r="G36" i="49"/>
  <c r="H33" i="49"/>
  <c r="H21" i="49" s="1"/>
  <c r="BA75" i="49"/>
  <c r="BA99" i="49" s="1"/>
  <c r="AV75" i="49"/>
  <c r="AV99" i="49" s="1"/>
  <c r="AW103" i="49"/>
  <c r="H26" i="45"/>
  <c r="C80" i="34"/>
  <c r="D80" i="34"/>
  <c r="E80" i="34"/>
  <c r="F80" i="34"/>
  <c r="G80" i="34"/>
  <c r="I50" i="38"/>
  <c r="I54" i="38" s="1"/>
  <c r="G50" i="38"/>
  <c r="G54" i="38" s="1"/>
  <c r="E50" i="38"/>
  <c r="E54" i="38" s="1"/>
  <c r="M53" i="38"/>
  <c r="M51" i="38"/>
  <c r="P51" i="38" s="1"/>
  <c r="M49" i="38"/>
  <c r="M48" i="38"/>
  <c r="M47" i="38"/>
  <c r="M46" i="38"/>
  <c r="K50" i="38"/>
  <c r="K54" i="38" s="1"/>
  <c r="K52" i="38"/>
  <c r="M52" i="38" s="1"/>
  <c r="E58" i="42"/>
  <c r="F58" i="42"/>
  <c r="G58" i="42"/>
  <c r="H58" i="42"/>
  <c r="I58" i="42"/>
  <c r="J58" i="42"/>
  <c r="K58" i="42"/>
  <c r="L58" i="42"/>
  <c r="C58" i="42"/>
  <c r="D58" i="42"/>
  <c r="K51" i="42"/>
  <c r="C51" i="42"/>
  <c r="D51" i="42"/>
  <c r="E51" i="42"/>
  <c r="F51" i="42"/>
  <c r="G51" i="42"/>
  <c r="H51" i="42"/>
  <c r="I51" i="42"/>
  <c r="J51" i="42"/>
  <c r="I50" i="42"/>
  <c r="K50" i="42"/>
  <c r="G50" i="42"/>
  <c r="D50" i="42"/>
  <c r="E50" i="42"/>
  <c r="F50" i="42"/>
  <c r="H50" i="42"/>
  <c r="L50" i="42"/>
  <c r="C50" i="42"/>
  <c r="BO117" i="11"/>
  <c r="E66" i="34"/>
  <c r="E71" i="34" s="1"/>
  <c r="F66" i="34"/>
  <c r="F71" i="34" s="1"/>
  <c r="C66" i="34"/>
  <c r="C71" i="34" s="1"/>
  <c r="D66" i="34"/>
  <c r="D71" i="34" s="1"/>
  <c r="A56" i="8"/>
  <c r="M25" i="39"/>
  <c r="K73" i="38"/>
  <c r="P73" i="38" s="1"/>
  <c r="Q73" i="38" s="1"/>
  <c r="C37" i="42"/>
  <c r="D37" i="42"/>
  <c r="E37" i="42"/>
  <c r="F37" i="42"/>
  <c r="G37" i="42"/>
  <c r="H37" i="42"/>
  <c r="I37" i="42"/>
  <c r="J37" i="42"/>
  <c r="K37" i="42"/>
  <c r="L37" i="42"/>
  <c r="M37" i="42"/>
  <c r="N37" i="42"/>
  <c r="O37" i="42"/>
  <c r="P37" i="42"/>
  <c r="Q37" i="42"/>
  <c r="R37" i="42"/>
  <c r="S37" i="42"/>
  <c r="T37" i="42"/>
  <c r="U37" i="42"/>
  <c r="V37" i="42"/>
  <c r="W37" i="42"/>
  <c r="X37" i="42"/>
  <c r="Y37" i="42"/>
  <c r="Z37" i="42"/>
  <c r="AA37" i="42"/>
  <c r="AB37" i="42"/>
  <c r="AC37" i="42"/>
  <c r="AD37" i="42"/>
  <c r="AF37" i="42"/>
  <c r="AG37" i="42"/>
  <c r="AH37" i="42"/>
  <c r="AI37" i="42"/>
  <c r="AJ37" i="42"/>
  <c r="AK37" i="42"/>
  <c r="AL37" i="42"/>
  <c r="AM37" i="42"/>
  <c r="C8" i="42"/>
  <c r="D8" i="42"/>
  <c r="E8" i="42"/>
  <c r="F8" i="42"/>
  <c r="G8" i="42"/>
  <c r="H8" i="42"/>
  <c r="I8" i="42"/>
  <c r="J8" i="42"/>
  <c r="K8" i="42"/>
  <c r="L8" i="42"/>
  <c r="B8" i="42"/>
  <c r="C12" i="42"/>
  <c r="D12" i="42"/>
  <c r="E12" i="42"/>
  <c r="F12" i="42"/>
  <c r="G12" i="42"/>
  <c r="H12" i="42"/>
  <c r="I12" i="42"/>
  <c r="J12" i="42"/>
  <c r="K12" i="42"/>
  <c r="L12" i="42"/>
  <c r="D11" i="42"/>
  <c r="E11" i="42"/>
  <c r="F11" i="42"/>
  <c r="G11" i="42"/>
  <c r="H11" i="42"/>
  <c r="I11" i="42"/>
  <c r="J11" i="42"/>
  <c r="K11" i="42"/>
  <c r="L11" i="42"/>
  <c r="C11" i="42"/>
  <c r="C9" i="42"/>
  <c r="B9" i="42"/>
  <c r="D9" i="42"/>
  <c r="E9" i="42"/>
  <c r="F9" i="42"/>
  <c r="G9" i="42"/>
  <c r="H9" i="42"/>
  <c r="I9" i="42"/>
  <c r="J9" i="42"/>
  <c r="K9" i="42"/>
  <c r="L9" i="42"/>
  <c r="O17" i="38"/>
  <c r="M5" i="39"/>
  <c r="P49" i="38"/>
  <c r="P46" i="38" s="1"/>
  <c r="P28" i="39"/>
  <c r="M16" i="39"/>
  <c r="P13" i="39" s="1"/>
  <c r="C50" i="39"/>
  <c r="D12" i="21"/>
  <c r="E12" i="21"/>
  <c r="G12" i="21"/>
  <c r="C14" i="21"/>
  <c r="D14" i="21"/>
  <c r="E14" i="21"/>
  <c r="F14" i="21"/>
  <c r="G14" i="21"/>
  <c r="E11" i="21"/>
  <c r="S11" i="22"/>
  <c r="T11" i="22"/>
  <c r="U11" i="22"/>
  <c r="V11" i="22"/>
  <c r="W11" i="22"/>
  <c r="X11" i="22"/>
  <c r="Y11" i="22"/>
  <c r="Z11" i="22"/>
  <c r="AA11" i="22"/>
  <c r="R11" i="22"/>
  <c r="AB20" i="22"/>
  <c r="AC20" i="22"/>
  <c r="AB21" i="22"/>
  <c r="AC21" i="22"/>
  <c r="AB22" i="22"/>
  <c r="AC22" i="22"/>
  <c r="AB23" i="22"/>
  <c r="AC23" i="22"/>
  <c r="AB24" i="22"/>
  <c r="AC24" i="22"/>
  <c r="AB25" i="22"/>
  <c r="AC25" i="22"/>
  <c r="AB26" i="22"/>
  <c r="AC26" i="22"/>
  <c r="AB27" i="22"/>
  <c r="AC27" i="22"/>
  <c r="AB28" i="22"/>
  <c r="AC28" i="22"/>
  <c r="AB29" i="22"/>
  <c r="AC29" i="22"/>
  <c r="N16" i="22"/>
  <c r="N17" i="22"/>
  <c r="H19" i="21"/>
  <c r="D49" i="42"/>
  <c r="E49" i="42"/>
  <c r="F49" i="42"/>
  <c r="G49" i="42"/>
  <c r="H49" i="42"/>
  <c r="I49" i="42"/>
  <c r="J49" i="42"/>
  <c r="K49" i="42"/>
  <c r="L49" i="42"/>
  <c r="C49" i="42"/>
  <c r="D25" i="42"/>
  <c r="E25" i="42"/>
  <c r="G25" i="42"/>
  <c r="H25" i="42"/>
  <c r="I25" i="42"/>
  <c r="J25" i="42"/>
  <c r="K25" i="42"/>
  <c r="L25" i="42"/>
  <c r="AJ7" i="42"/>
  <c r="AK7" i="42"/>
  <c r="AL7" i="42"/>
  <c r="AM7" i="42"/>
  <c r="AN7" i="42"/>
  <c r="B16" i="42"/>
  <c r="B19" i="42" s="1"/>
  <c r="C16" i="42"/>
  <c r="C19" i="42" s="1"/>
  <c r="D16" i="42"/>
  <c r="D19" i="42" s="1"/>
  <c r="E16" i="42"/>
  <c r="E19" i="42" s="1"/>
  <c r="F16" i="42"/>
  <c r="G16" i="42"/>
  <c r="H16" i="42"/>
  <c r="I16" i="42"/>
  <c r="J16" i="42"/>
  <c r="K16" i="42"/>
  <c r="K19" i="42" s="1"/>
  <c r="L16" i="42"/>
  <c r="L19" i="42" s="1"/>
  <c r="B11" i="42"/>
  <c r="B6" i="42"/>
  <c r="P24" i="38"/>
  <c r="Q24" i="38" s="1"/>
  <c r="R24" i="38" s="1"/>
  <c r="S24" i="38" s="1"/>
  <c r="T24" i="38" s="1"/>
  <c r="U24" i="38" s="1"/>
  <c r="D92" i="38"/>
  <c r="E92" i="38"/>
  <c r="F92" i="38"/>
  <c r="G92" i="38"/>
  <c r="H92" i="38"/>
  <c r="I92" i="38"/>
  <c r="J92" i="38"/>
  <c r="K92" i="38"/>
  <c r="L92" i="38"/>
  <c r="C104" i="38"/>
  <c r="D104" i="38"/>
  <c r="E104" i="38"/>
  <c r="F104" i="38"/>
  <c r="BP18" i="11"/>
  <c r="AX67" i="53" l="1"/>
  <c r="AZ59" i="53"/>
  <c r="AG68" i="53"/>
  <c r="AP68" i="53"/>
  <c r="AZ89" i="53" s="1"/>
  <c r="AZ91" i="53" s="1"/>
  <c r="AY79" i="53"/>
  <c r="AX103" i="53"/>
  <c r="BA64" i="53"/>
  <c r="BA109" i="53" s="1"/>
  <c r="AZ109" i="53"/>
  <c r="AY68" i="53"/>
  <c r="AY112" i="53" s="1"/>
  <c r="AO68" i="30"/>
  <c r="AY89" i="30" s="1"/>
  <c r="AY91" i="30" s="1"/>
  <c r="AX68" i="30"/>
  <c r="AX112" i="30" s="1"/>
  <c r="AW112" i="30"/>
  <c r="AD24" i="22"/>
  <c r="AD22" i="22"/>
  <c r="AD21" i="22"/>
  <c r="I68" i="42"/>
  <c r="AE68" i="49"/>
  <c r="AF68" i="49" s="1"/>
  <c r="G68" i="42"/>
  <c r="F68" i="42"/>
  <c r="D68" i="42"/>
  <c r="AD26" i="22"/>
  <c r="AD29" i="22"/>
  <c r="AD25" i="22"/>
  <c r="K68" i="42"/>
  <c r="AB11" i="22"/>
  <c r="AW67" i="49"/>
  <c r="AD28" i="22"/>
  <c r="AD20" i="22"/>
  <c r="AD27" i="22"/>
  <c r="AD23" i="22"/>
  <c r="E68" i="42"/>
  <c r="R68" i="42" s="1"/>
  <c r="AX68" i="49"/>
  <c r="AX112" i="49" s="1"/>
  <c r="L68" i="42"/>
  <c r="H68" i="42"/>
  <c r="J68" i="42"/>
  <c r="O51" i="42"/>
  <c r="N25" i="42"/>
  <c r="N27" i="42"/>
  <c r="BA64" i="30"/>
  <c r="BA109" i="30" s="1"/>
  <c r="AZ109" i="30"/>
  <c r="AZ59" i="30"/>
  <c r="AY79" i="30"/>
  <c r="AX103" i="30"/>
  <c r="AG68" i="30"/>
  <c r="R73" i="38"/>
  <c r="S73" i="38" s="1"/>
  <c r="T73" i="38" s="1"/>
  <c r="U73" i="38" s="1"/>
  <c r="M50" i="38"/>
  <c r="AX109" i="49"/>
  <c r="AY64" i="49"/>
  <c r="AY59" i="49"/>
  <c r="AX79" i="49"/>
  <c r="L51" i="38"/>
  <c r="L48" i="38" s="1"/>
  <c r="H74" i="48"/>
  <c r="H77" i="48"/>
  <c r="S17" i="38"/>
  <c r="R17" i="38"/>
  <c r="T17" i="38"/>
  <c r="Q17" i="38"/>
  <c r="U17" i="38"/>
  <c r="N51" i="38"/>
  <c r="N52" i="38" s="1"/>
  <c r="H74" i="34"/>
  <c r="Q49" i="38"/>
  <c r="I77" i="48" s="1"/>
  <c r="S51" i="38"/>
  <c r="S49" i="38"/>
  <c r="K77" i="48" s="1"/>
  <c r="Q51" i="38"/>
  <c r="U51" i="38"/>
  <c r="U49" i="38"/>
  <c r="M77" i="48" s="1"/>
  <c r="T51" i="38"/>
  <c r="T49" i="38"/>
  <c r="L77" i="48" s="1"/>
  <c r="R51" i="38"/>
  <c r="R49" i="38"/>
  <c r="J77" i="48" s="1"/>
  <c r="P17" i="38"/>
  <c r="H77" i="34"/>
  <c r="N8" i="42"/>
  <c r="J50" i="42"/>
  <c r="O50" i="42" s="1"/>
  <c r="N9" i="42"/>
  <c r="O49" i="42"/>
  <c r="F93" i="38"/>
  <c r="P41" i="38"/>
  <c r="K93" i="38"/>
  <c r="T16" i="38" s="1"/>
  <c r="I93" i="38"/>
  <c r="R29" i="38" s="1"/>
  <c r="J19" i="42"/>
  <c r="H19" i="42"/>
  <c r="H93" i="38"/>
  <c r="Q16" i="38" s="1"/>
  <c r="E93" i="38"/>
  <c r="J93" i="38"/>
  <c r="S29" i="38" s="1"/>
  <c r="G93" i="38"/>
  <c r="L93" i="38"/>
  <c r="U16" i="38" s="1"/>
  <c r="I19" i="42"/>
  <c r="G19" i="42"/>
  <c r="F19" i="42"/>
  <c r="E105" i="38"/>
  <c r="E107" i="38" s="1"/>
  <c r="F105" i="38"/>
  <c r="F107" i="38" s="1"/>
  <c r="D105" i="38"/>
  <c r="D107" i="38" s="1"/>
  <c r="AZ79" i="53" l="1"/>
  <c r="AY103" i="53"/>
  <c r="AQ68" i="53"/>
  <c r="BA89" i="53" s="1"/>
  <c r="BA91" i="53" s="1"/>
  <c r="BA59" i="53"/>
  <c r="AY67" i="53"/>
  <c r="AZ68" i="53"/>
  <c r="AZ112" i="53" s="1"/>
  <c r="AX67" i="30"/>
  <c r="AY68" i="30"/>
  <c r="AY112" i="30" s="1"/>
  <c r="AP68" i="30"/>
  <c r="AZ89" i="30" s="1"/>
  <c r="AZ91" i="30" s="1"/>
  <c r="O68" i="42"/>
  <c r="AO68" i="49"/>
  <c r="AY89" i="49" s="1"/>
  <c r="AY91" i="49" s="1"/>
  <c r="AX67" i="49"/>
  <c r="AY103" i="30"/>
  <c r="AZ79" i="30"/>
  <c r="BA59" i="30"/>
  <c r="AG68" i="49"/>
  <c r="AY109" i="49"/>
  <c r="AZ64" i="49"/>
  <c r="AY79" i="49"/>
  <c r="AX103" i="49"/>
  <c r="AZ59" i="49"/>
  <c r="T29" i="38"/>
  <c r="R16" i="38"/>
  <c r="N19" i="42"/>
  <c r="Q29" i="38"/>
  <c r="S16" i="38"/>
  <c r="U29" i="38"/>
  <c r="BA68" i="53" l="1"/>
  <c r="BA112" i="53" s="1"/>
  <c r="AZ67" i="53"/>
  <c r="AZ103" i="53"/>
  <c r="BA79" i="53"/>
  <c r="AY67" i="30"/>
  <c r="AZ68" i="30"/>
  <c r="AZ112" i="30" s="1"/>
  <c r="AQ68" i="30"/>
  <c r="BA89" i="30" s="1"/>
  <c r="BA91" i="30" s="1"/>
  <c r="AY68" i="49"/>
  <c r="AY112" i="49" s="1"/>
  <c r="AP68" i="49"/>
  <c r="AZ89" i="49" s="1"/>
  <c r="AZ91" i="49" s="1"/>
  <c r="AZ103" i="30"/>
  <c r="BA79" i="30"/>
  <c r="AZ109" i="49"/>
  <c r="BA64" i="49"/>
  <c r="BA109" i="49" s="1"/>
  <c r="AZ79" i="49"/>
  <c r="AY103" i="49"/>
  <c r="BA59" i="49"/>
  <c r="BA67" i="53" l="1"/>
  <c r="BA103" i="53"/>
  <c r="AZ67" i="30"/>
  <c r="BA68" i="30"/>
  <c r="BA112" i="30" s="1"/>
  <c r="AY67" i="49"/>
  <c r="AQ68" i="49"/>
  <c r="BA89" i="49" s="1"/>
  <c r="BA91" i="49" s="1"/>
  <c r="AZ68" i="49"/>
  <c r="AZ112" i="49" s="1"/>
  <c r="BA103" i="30"/>
  <c r="BA79" i="49"/>
  <c r="AZ103" i="49"/>
  <c r="M21" i="39"/>
  <c r="P37" i="24"/>
  <c r="Q37" i="24"/>
  <c r="N37" i="24"/>
  <c r="O37" i="24"/>
  <c r="M37" i="24"/>
  <c r="BA67" i="30" l="1"/>
  <c r="BA68" i="49"/>
  <c r="BA112" i="49" s="1"/>
  <c r="AZ67" i="49"/>
  <c r="BA103" i="49"/>
  <c r="J42" i="24"/>
  <c r="E42" i="24"/>
  <c r="D42" i="24"/>
  <c r="C42" i="24"/>
  <c r="F42" i="24"/>
  <c r="G42" i="24"/>
  <c r="H42" i="24"/>
  <c r="I42" i="24"/>
  <c r="K42" i="24"/>
  <c r="L42" i="24"/>
  <c r="D55" i="24"/>
  <c r="D54" i="24"/>
  <c r="C54" i="24"/>
  <c r="B48" i="24"/>
  <c r="B49" i="24"/>
  <c r="B47" i="24"/>
  <c r="D47" i="24"/>
  <c r="E47" i="24"/>
  <c r="F47" i="24"/>
  <c r="G47" i="24"/>
  <c r="H47" i="24"/>
  <c r="I47" i="24"/>
  <c r="J47" i="24"/>
  <c r="K47" i="24"/>
  <c r="L47" i="24"/>
  <c r="D48" i="24"/>
  <c r="E48" i="24"/>
  <c r="F48" i="24"/>
  <c r="G48" i="24"/>
  <c r="H48" i="24"/>
  <c r="I48" i="24"/>
  <c r="J48" i="24"/>
  <c r="K48" i="24"/>
  <c r="L48" i="24"/>
  <c r="D56" i="24"/>
  <c r="D53" i="24"/>
  <c r="D46" i="24"/>
  <c r="E46" i="24"/>
  <c r="F46" i="24"/>
  <c r="G46" i="24"/>
  <c r="H46" i="24"/>
  <c r="I46" i="24"/>
  <c r="J46" i="24"/>
  <c r="K46" i="24"/>
  <c r="L46" i="24"/>
  <c r="C46" i="24"/>
  <c r="C55" i="24"/>
  <c r="C56" i="24"/>
  <c r="C53" i="24"/>
  <c r="BA67" i="49" l="1"/>
  <c r="M42" i="24"/>
  <c r="G54" i="24"/>
  <c r="H54" i="24"/>
  <c r="G53" i="24"/>
  <c r="H56" i="24"/>
  <c r="G55" i="24"/>
  <c r="H53" i="24"/>
  <c r="G56" i="24"/>
  <c r="I49" i="24"/>
  <c r="H55" i="24"/>
  <c r="G49" i="24"/>
  <c r="D49" i="24"/>
  <c r="E54" i="24"/>
  <c r="E49" i="24"/>
  <c r="J49" i="24"/>
  <c r="F49" i="24"/>
  <c r="L49" i="24"/>
  <c r="E53" i="24"/>
  <c r="K49" i="24"/>
  <c r="E56" i="24"/>
  <c r="E55" i="24"/>
  <c r="H49" i="24"/>
  <c r="I55" i="24" l="1"/>
  <c r="I56" i="24"/>
  <c r="I54" i="24"/>
  <c r="I53" i="24"/>
  <c r="O206" i="11" l="1"/>
  <c r="P206" i="11"/>
  <c r="Q206" i="11"/>
  <c r="R206" i="11"/>
  <c r="S206" i="11"/>
  <c r="T206" i="11"/>
  <c r="U206" i="11"/>
  <c r="V206" i="11"/>
  <c r="W206" i="11"/>
  <c r="X206" i="11"/>
  <c r="Y206" i="11"/>
  <c r="Z206" i="11"/>
  <c r="AA206" i="11"/>
  <c r="AB206" i="11"/>
  <c r="AC206" i="11"/>
  <c r="AD206" i="11"/>
  <c r="AE206" i="11"/>
  <c r="AF206" i="11"/>
  <c r="AI206" i="11"/>
  <c r="AJ206" i="11"/>
  <c r="AK206" i="11"/>
  <c r="AN206" i="11"/>
  <c r="AO206" i="11"/>
  <c r="AP206" i="11"/>
  <c r="AW206" i="11"/>
  <c r="AY206" i="11"/>
  <c r="AZ206" i="11"/>
  <c r="BA206" i="11"/>
  <c r="BB206" i="11"/>
  <c r="BD206" i="11"/>
  <c r="BE206" i="11"/>
  <c r="BF206" i="11"/>
  <c r="BG206" i="11"/>
  <c r="BI206" i="11"/>
  <c r="BJ206" i="11"/>
  <c r="BK206" i="11"/>
  <c r="BL206" i="11"/>
  <c r="BN206" i="11"/>
  <c r="BO206" i="11"/>
  <c r="N206" i="11"/>
  <c r="C34" i="39"/>
  <c r="C43" i="39" s="1"/>
  <c r="C44" i="39" s="1"/>
  <c r="I38" i="39"/>
  <c r="M38" i="39"/>
  <c r="C11" i="39"/>
  <c r="C18" i="39"/>
  <c r="C21" i="39"/>
  <c r="C7" i="39"/>
  <c r="E79" i="38"/>
  <c r="G79" i="38"/>
  <c r="I79" i="38"/>
  <c r="K79" i="38"/>
  <c r="E80" i="38"/>
  <c r="G80" i="38"/>
  <c r="G82" i="38" s="1"/>
  <c r="G63" i="38" s="1"/>
  <c r="G62" i="38" s="1"/>
  <c r="I80" i="38"/>
  <c r="K80" i="38"/>
  <c r="K82" i="38" s="1"/>
  <c r="K63" i="38" s="1"/>
  <c r="K62" i="38" s="1"/>
  <c r="E67" i="38"/>
  <c r="G67" i="38"/>
  <c r="I67" i="38"/>
  <c r="K67" i="38"/>
  <c r="E69" i="38"/>
  <c r="G69" i="38"/>
  <c r="R60" i="38"/>
  <c r="S60" i="38" s="1"/>
  <c r="T60" i="38" s="1"/>
  <c r="U60" i="38" s="1"/>
  <c r="E61" i="38"/>
  <c r="G61" i="38"/>
  <c r="I61" i="38"/>
  <c r="K61" i="38"/>
  <c r="Q46" i="38"/>
  <c r="P48" i="38"/>
  <c r="P28" i="38"/>
  <c r="P15" i="38"/>
  <c r="Q15" i="38" s="1"/>
  <c r="R15" i="38" s="1"/>
  <c r="G9" i="38"/>
  <c r="G11" i="38" s="1"/>
  <c r="I9" i="38"/>
  <c r="I11" i="38" s="1"/>
  <c r="K9" i="38"/>
  <c r="K11" i="38" s="1"/>
  <c r="I41" i="34"/>
  <c r="J41" i="34"/>
  <c r="K41" i="34"/>
  <c r="L41" i="34"/>
  <c r="M41" i="34"/>
  <c r="H41" i="34"/>
  <c r="I31" i="34"/>
  <c r="J31" i="34"/>
  <c r="K31" i="34"/>
  <c r="L31" i="34"/>
  <c r="M31" i="34"/>
  <c r="H31" i="34"/>
  <c r="M29" i="11"/>
  <c r="I74" i="34" l="1"/>
  <c r="I74" i="48"/>
  <c r="H76" i="48"/>
  <c r="K15" i="34"/>
  <c r="K63" i="34"/>
  <c r="J15" i="34"/>
  <c r="J63" i="34"/>
  <c r="I63" i="34"/>
  <c r="I15" i="34"/>
  <c r="Q48" i="38"/>
  <c r="I76" i="48" s="1"/>
  <c r="H76" i="34"/>
  <c r="G104" i="38"/>
  <c r="G105" i="38" s="1"/>
  <c r="G107" i="38" s="1"/>
  <c r="C12" i="39"/>
  <c r="M44" i="39" s="1"/>
  <c r="C22" i="39"/>
  <c r="Q28" i="38"/>
  <c r="E81" i="38"/>
  <c r="I81" i="38"/>
  <c r="S15" i="38"/>
  <c r="R46" i="38"/>
  <c r="J74" i="48" s="1"/>
  <c r="Q61" i="38"/>
  <c r="G81" i="38"/>
  <c r="P61" i="38"/>
  <c r="K81" i="38"/>
  <c r="BL85" i="11"/>
  <c r="BL84" i="11"/>
  <c r="BL88" i="11" s="1"/>
  <c r="BL72" i="11"/>
  <c r="BL76" i="11" s="1"/>
  <c r="BL78" i="11"/>
  <c r="BL82" i="11" s="1"/>
  <c r="BG78" i="11"/>
  <c r="BG82" i="11" s="1"/>
  <c r="BG84" i="11"/>
  <c r="BG88" i="11" s="1"/>
  <c r="BG72" i="11"/>
  <c r="BG76" i="11" s="1"/>
  <c r="BB72" i="11"/>
  <c r="BB76" i="11" s="1"/>
  <c r="BP17" i="11"/>
  <c r="BQ17" i="11" s="1"/>
  <c r="BQ18" i="11"/>
  <c r="BP19" i="11"/>
  <c r="BQ19" i="11" s="1"/>
  <c r="BP20" i="11"/>
  <c r="BQ20" i="11" s="1"/>
  <c r="BP21" i="11"/>
  <c r="BQ21" i="11" s="1"/>
  <c r="BP22" i="11"/>
  <c r="BQ22" i="11" s="1"/>
  <c r="BP23" i="11"/>
  <c r="BQ23" i="11" s="1"/>
  <c r="BP15" i="11"/>
  <c r="BQ15" i="11" s="1"/>
  <c r="BP16" i="11"/>
  <c r="BQ16" i="11" s="1"/>
  <c r="BP65" i="11"/>
  <c r="BQ65" i="11" s="1"/>
  <c r="BP64" i="11"/>
  <c r="I19" i="21"/>
  <c r="J19" i="21" s="1"/>
  <c r="K19" i="21" s="1"/>
  <c r="L19" i="21" s="1"/>
  <c r="M19" i="21" s="1"/>
  <c r="P44" i="39" l="1"/>
  <c r="M63" i="34"/>
  <c r="M15" i="34"/>
  <c r="H15" i="34"/>
  <c r="H63" i="34"/>
  <c r="J74" i="34"/>
  <c r="R48" i="38"/>
  <c r="J76" i="48" s="1"/>
  <c r="I76" i="34"/>
  <c r="H104" i="38"/>
  <c r="H105" i="38" s="1"/>
  <c r="H107" i="38" s="1"/>
  <c r="Q25" i="38" s="1"/>
  <c r="R28" i="38"/>
  <c r="S46" i="38"/>
  <c r="K74" i="48" s="1"/>
  <c r="R61" i="38"/>
  <c r="T15" i="38"/>
  <c r="L15" i="34" l="1"/>
  <c r="L63" i="34"/>
  <c r="K74" i="34"/>
  <c r="S48" i="38"/>
  <c r="K76" i="48" s="1"/>
  <c r="J76" i="34"/>
  <c r="I104" i="38"/>
  <c r="I105" i="38" s="1"/>
  <c r="S28" i="38"/>
  <c r="U15" i="38"/>
  <c r="T46" i="38"/>
  <c r="L74" i="48" s="1"/>
  <c r="S61" i="38"/>
  <c r="Q41" i="38" l="1"/>
  <c r="Q26" i="38"/>
  <c r="I107" i="38"/>
  <c r="R25" i="38" s="1"/>
  <c r="L74" i="34"/>
  <c r="T48" i="38"/>
  <c r="L76" i="48" s="1"/>
  <c r="K76" i="34"/>
  <c r="J104" i="38"/>
  <c r="J105" i="38" s="1"/>
  <c r="T28" i="38"/>
  <c r="U46" i="38"/>
  <c r="M74" i="48" s="1"/>
  <c r="T61" i="38"/>
  <c r="C13" i="21"/>
  <c r="C10" i="21"/>
  <c r="F13" i="21"/>
  <c r="G13" i="21"/>
  <c r="D13" i="21"/>
  <c r="F16" i="21"/>
  <c r="G16" i="21"/>
  <c r="C16" i="21"/>
  <c r="D16" i="21"/>
  <c r="E16" i="21"/>
  <c r="E13" i="21"/>
  <c r="J107" i="38" l="1"/>
  <c r="S25" i="38" s="1"/>
  <c r="M74" i="34"/>
  <c r="U48" i="38"/>
  <c r="L76" i="34"/>
  <c r="K104" i="38"/>
  <c r="K105" i="38" s="1"/>
  <c r="U28" i="38"/>
  <c r="U61" i="38"/>
  <c r="X14" i="16"/>
  <c r="Y14" i="16"/>
  <c r="J147" i="1"/>
  <c r="K147" i="1"/>
  <c r="L147" i="1"/>
  <c r="M147" i="1"/>
  <c r="I147" i="1"/>
  <c r="H144" i="1"/>
  <c r="I142" i="1"/>
  <c r="M144" i="1" s="1"/>
  <c r="H138" i="1"/>
  <c r="J138" i="1"/>
  <c r="K138" i="1"/>
  <c r="L138" i="1"/>
  <c r="M138" i="1"/>
  <c r="I138" i="1"/>
  <c r="G136" i="1"/>
  <c r="I136" i="1"/>
  <c r="J136" i="1"/>
  <c r="K136" i="1"/>
  <c r="L136" i="1"/>
  <c r="M136" i="1"/>
  <c r="H136" i="1"/>
  <c r="H133" i="1"/>
  <c r="S144" i="1"/>
  <c r="C87" i="23"/>
  <c r="H22" i="26" s="1"/>
  <c r="N21" i="24"/>
  <c r="C28" i="24" s="1"/>
  <c r="N11" i="24" a="1"/>
  <c r="N11" i="24" s="1"/>
  <c r="N12" i="24"/>
  <c r="D21" i="24"/>
  <c r="E21" i="24"/>
  <c r="F21" i="24"/>
  <c r="G21" i="24"/>
  <c r="H21" i="24"/>
  <c r="I21" i="24"/>
  <c r="J21" i="24"/>
  <c r="K21" i="24"/>
  <c r="L21" i="24"/>
  <c r="M21" i="24"/>
  <c r="C21" i="24"/>
  <c r="R14" i="22"/>
  <c r="R41" i="38" l="1"/>
  <c r="K107" i="38"/>
  <c r="T25" i="38" s="1"/>
  <c r="M76" i="34"/>
  <c r="M76" i="48"/>
  <c r="L104" i="38"/>
  <c r="L105" i="38" s="1"/>
  <c r="I137" i="1"/>
  <c r="L144" i="1"/>
  <c r="I144" i="1"/>
  <c r="K144" i="1"/>
  <c r="J144" i="1"/>
  <c r="D87" i="23"/>
  <c r="I22" i="26" s="1"/>
  <c r="E87" i="23"/>
  <c r="J22" i="26" s="1"/>
  <c r="F87" i="23"/>
  <c r="K22" i="26" s="1"/>
  <c r="P14" i="16"/>
  <c r="I14" i="23"/>
  <c r="I13" i="23" s="1"/>
  <c r="J9" i="26" s="1"/>
  <c r="W18" i="16"/>
  <c r="W3" i="16"/>
  <c r="W4" i="16"/>
  <c r="W5" i="16"/>
  <c r="W6" i="16"/>
  <c r="W7" i="16"/>
  <c r="W8" i="16"/>
  <c r="W9" i="16"/>
  <c r="W10" i="16"/>
  <c r="W11" i="16"/>
  <c r="W12" i="16"/>
  <c r="W13" i="16"/>
  <c r="W14" i="16"/>
  <c r="W15" i="16" s="1"/>
  <c r="H14" i="23"/>
  <c r="H13" i="23" s="1"/>
  <c r="G14" i="23"/>
  <c r="G13" i="23" s="1"/>
  <c r="B63" i="23"/>
  <c r="D63" i="23" s="1" a="1"/>
  <c r="D63" i="23" s="1"/>
  <c r="G24" i="16"/>
  <c r="G23" i="16" s="1"/>
  <c r="H24" i="16"/>
  <c r="I24" i="16"/>
  <c r="J24" i="16"/>
  <c r="K24" i="16"/>
  <c r="G20" i="16"/>
  <c r="H20" i="16" s="1"/>
  <c r="I20" i="16" s="1"/>
  <c r="J20" i="16" s="1"/>
  <c r="K20" i="16" s="1"/>
  <c r="G17" i="16"/>
  <c r="H17" i="16" s="1"/>
  <c r="I17" i="16" s="1"/>
  <c r="J17" i="16" s="1"/>
  <c r="G14" i="16"/>
  <c r="H14" i="16"/>
  <c r="I14" i="16"/>
  <c r="J14" i="16"/>
  <c r="K14" i="16"/>
  <c r="G15" i="16"/>
  <c r="H15" i="16"/>
  <c r="I15" i="16"/>
  <c r="J15" i="16"/>
  <c r="K15" i="16"/>
  <c r="G11" i="16"/>
  <c r="H11" i="16" s="1"/>
  <c r="I11" i="16" s="1"/>
  <c r="J11" i="16" s="1"/>
  <c r="K11" i="16" s="1"/>
  <c r="G8" i="16"/>
  <c r="B5" i="16"/>
  <c r="B26" i="16" s="1"/>
  <c r="C5" i="16"/>
  <c r="C26" i="16" s="1"/>
  <c r="D5" i="16"/>
  <c r="D26" i="16" s="1"/>
  <c r="E5" i="16"/>
  <c r="E26" i="16" s="1"/>
  <c r="F5" i="16"/>
  <c r="F26" i="16" s="1"/>
  <c r="D12" i="26"/>
  <c r="M13" i="26" s="1"/>
  <c r="D11" i="26"/>
  <c r="G16" i="23"/>
  <c r="D21" i="26"/>
  <c r="F13" i="26"/>
  <c r="G13" i="26"/>
  <c r="E13" i="26"/>
  <c r="J16" i="23"/>
  <c r="K16" i="23"/>
  <c r="L16" i="23"/>
  <c r="H16" i="23"/>
  <c r="D6" i="21"/>
  <c r="E6" i="21"/>
  <c r="F6" i="21"/>
  <c r="G6" i="21"/>
  <c r="C6" i="21"/>
  <c r="D5" i="21"/>
  <c r="E5" i="21"/>
  <c r="F5" i="21"/>
  <c r="G5" i="21"/>
  <c r="C5" i="21"/>
  <c r="E9" i="26"/>
  <c r="E24" i="26" s="1"/>
  <c r="F9" i="26"/>
  <c r="F24" i="26" s="1"/>
  <c r="G9" i="26"/>
  <c r="G24" i="26" s="1"/>
  <c r="F15" i="23"/>
  <c r="E15" i="23"/>
  <c r="D17" i="21"/>
  <c r="E17" i="21"/>
  <c r="F17" i="21"/>
  <c r="G17" i="21"/>
  <c r="C17" i="21"/>
  <c r="S16" i="22"/>
  <c r="T16" i="22"/>
  <c r="U16" i="22"/>
  <c r="V16" i="22"/>
  <c r="W16" i="22"/>
  <c r="X16" i="22"/>
  <c r="Y16" i="22"/>
  <c r="Z16" i="22"/>
  <c r="AA16" i="22"/>
  <c r="R16" i="22"/>
  <c r="D15" i="21"/>
  <c r="E15" i="21"/>
  <c r="F15" i="21"/>
  <c r="G15" i="21"/>
  <c r="C15" i="21"/>
  <c r="S14" i="22"/>
  <c r="T14" i="22"/>
  <c r="U14" i="22"/>
  <c r="V14" i="22"/>
  <c r="W14" i="22"/>
  <c r="X14" i="22"/>
  <c r="Y14" i="22"/>
  <c r="Z14" i="22"/>
  <c r="AA14" i="22"/>
  <c r="S13" i="22"/>
  <c r="T13" i="22"/>
  <c r="U13" i="22"/>
  <c r="V13" i="22"/>
  <c r="W13" i="22"/>
  <c r="X13" i="22"/>
  <c r="Y13" i="22"/>
  <c r="Z13" i="22"/>
  <c r="AA13" i="22"/>
  <c r="R13" i="22"/>
  <c r="E17" i="23"/>
  <c r="F17" i="23"/>
  <c r="D17" i="23"/>
  <c r="D11" i="21"/>
  <c r="F11" i="21"/>
  <c r="G11" i="21"/>
  <c r="C11" i="21"/>
  <c r="Z10" i="22"/>
  <c r="AA10" i="22"/>
  <c r="Y10" i="22"/>
  <c r="D10" i="21"/>
  <c r="E10" i="21"/>
  <c r="H10" i="21" s="1"/>
  <c r="G10" i="21"/>
  <c r="I12" i="23"/>
  <c r="N49" i="25"/>
  <c r="R4" i="24"/>
  <c r="R5" i="24"/>
  <c r="R6" i="24"/>
  <c r="R7" i="24"/>
  <c r="R8" i="24"/>
  <c r="R9" i="24"/>
  <c r="R3" i="24"/>
  <c r="D12" i="24"/>
  <c r="E12" i="24"/>
  <c r="F12" i="24"/>
  <c r="G12" i="24"/>
  <c r="H12" i="24"/>
  <c r="I12" i="24"/>
  <c r="J12" i="24"/>
  <c r="K12" i="24"/>
  <c r="L12" i="24"/>
  <c r="M12" i="24"/>
  <c r="C12" i="24"/>
  <c r="D11" i="24" a="1"/>
  <c r="D11" i="24" s="1"/>
  <c r="E11" i="24" a="1"/>
  <c r="E11" i="24" s="1"/>
  <c r="F11" i="24" a="1"/>
  <c r="F11" i="24" s="1"/>
  <c r="G11" i="24" a="1"/>
  <c r="G11" i="24" s="1"/>
  <c r="H11" i="24" a="1"/>
  <c r="H11" i="24" s="1"/>
  <c r="I11" i="24" a="1"/>
  <c r="I11" i="24" s="1"/>
  <c r="J11" i="24" a="1"/>
  <c r="J11" i="24" s="1"/>
  <c r="K11" i="24" a="1"/>
  <c r="K11" i="24" s="1"/>
  <c r="L11" i="24" a="1"/>
  <c r="L11" i="24" s="1"/>
  <c r="M11" i="24" a="1"/>
  <c r="M11" i="24" s="1"/>
  <c r="C11" i="24" a="1"/>
  <c r="C11" i="24" s="1"/>
  <c r="AG59" i="23"/>
  <c r="AF59" i="23"/>
  <c r="AE59" i="23"/>
  <c r="AD59" i="23"/>
  <c r="AC59" i="23"/>
  <c r="AB59" i="23"/>
  <c r="AA59" i="23"/>
  <c r="Z59" i="23"/>
  <c r="Y59" i="23"/>
  <c r="X59" i="23"/>
  <c r="W59" i="23"/>
  <c r="V59" i="23"/>
  <c r="U59" i="23"/>
  <c r="T59" i="23"/>
  <c r="S59" i="23"/>
  <c r="R59" i="23"/>
  <c r="Q59" i="23"/>
  <c r="P59" i="23"/>
  <c r="O59" i="23"/>
  <c r="N59" i="23"/>
  <c r="M59" i="23"/>
  <c r="L59" i="23"/>
  <c r="K59" i="23"/>
  <c r="J59" i="23"/>
  <c r="I59" i="23"/>
  <c r="H59" i="23"/>
  <c r="G59" i="23"/>
  <c r="F59" i="23"/>
  <c r="E59" i="23"/>
  <c r="D59" i="23"/>
  <c r="H8" i="16" l="1"/>
  <c r="G29" i="16"/>
  <c r="S41" i="38"/>
  <c r="K17" i="16"/>
  <c r="L107" i="38"/>
  <c r="U25" i="38" s="1"/>
  <c r="H58" i="48"/>
  <c r="H58" i="34"/>
  <c r="G5" i="16"/>
  <c r="H5" i="16" s="1"/>
  <c r="H4" i="16" s="1"/>
  <c r="W19" i="16"/>
  <c r="D20" i="21"/>
  <c r="C20" i="21"/>
  <c r="G20" i="21"/>
  <c r="F20" i="21"/>
  <c r="E20" i="21"/>
  <c r="J24" i="26"/>
  <c r="J5" i="21" s="1"/>
  <c r="G31" i="23"/>
  <c r="G33" i="23" s="1"/>
  <c r="E31" i="23"/>
  <c r="E33" i="23" s="1"/>
  <c r="D31" i="23"/>
  <c r="D33" i="23" s="1"/>
  <c r="F31" i="23"/>
  <c r="F33" i="23" s="1"/>
  <c r="AS31" i="23"/>
  <c r="AS33" i="23" s="1"/>
  <c r="AR31" i="23"/>
  <c r="AR33" i="23" s="1"/>
  <c r="AQ31" i="23"/>
  <c r="AQ33" i="23" s="1"/>
  <c r="AO31" i="23"/>
  <c r="AO33" i="23" s="1"/>
  <c r="AN31" i="23"/>
  <c r="AN33" i="23" s="1"/>
  <c r="AP31" i="23"/>
  <c r="AP33" i="23" s="1"/>
  <c r="AM31" i="23"/>
  <c r="AM33" i="23" s="1"/>
  <c r="AK31" i="23"/>
  <c r="AK33" i="23" s="1"/>
  <c r="AJ31" i="23"/>
  <c r="AJ33" i="23" s="1"/>
  <c r="AL31" i="23"/>
  <c r="AL33" i="23" s="1"/>
  <c r="W31" i="23"/>
  <c r="W33" i="23" s="1"/>
  <c r="U31" i="23"/>
  <c r="U33" i="23" s="1"/>
  <c r="T31" i="23"/>
  <c r="T33" i="23" s="1"/>
  <c r="V31" i="23"/>
  <c r="V33" i="23" s="1"/>
  <c r="R31" i="23"/>
  <c r="R33" i="23" s="1"/>
  <c r="S31" i="23"/>
  <c r="S33" i="23" s="1"/>
  <c r="Q31" i="23"/>
  <c r="Q33" i="23" s="1"/>
  <c r="P31" i="23"/>
  <c r="P33" i="23" s="1"/>
  <c r="O31" i="23"/>
  <c r="O33" i="23" s="1"/>
  <c r="N31" i="23"/>
  <c r="N33" i="23" s="1"/>
  <c r="M31" i="23"/>
  <c r="M33" i="23" s="1"/>
  <c r="L31" i="23"/>
  <c r="L33" i="23" s="1"/>
  <c r="K31" i="23"/>
  <c r="K33" i="23" s="1"/>
  <c r="I31" i="23"/>
  <c r="I33" i="23" s="1"/>
  <c r="H31" i="23"/>
  <c r="H33" i="23" s="1"/>
  <c r="J31" i="23"/>
  <c r="J33" i="23" s="1"/>
  <c r="AH31" i="23"/>
  <c r="AH33" i="23" s="1"/>
  <c r="AI31" i="23"/>
  <c r="AI33" i="23" s="1"/>
  <c r="AG31" i="23"/>
  <c r="AG33" i="23" s="1"/>
  <c r="AF31" i="23"/>
  <c r="AF33" i="23" s="1"/>
  <c r="AE31" i="23"/>
  <c r="AE33" i="23" s="1"/>
  <c r="AC31" i="23"/>
  <c r="AC33" i="23" s="1"/>
  <c r="AD31" i="23"/>
  <c r="AD33" i="23" s="1"/>
  <c r="AB31" i="23"/>
  <c r="AB33" i="23" s="1"/>
  <c r="AA31" i="23"/>
  <c r="AA33" i="23" s="1"/>
  <c r="Y31" i="23"/>
  <c r="Y33" i="23" s="1"/>
  <c r="X31" i="23"/>
  <c r="X33" i="23" s="1"/>
  <c r="Z31" i="23"/>
  <c r="Z33" i="23" s="1"/>
  <c r="N15" i="24"/>
  <c r="N23" i="24" s="1"/>
  <c r="N14" i="24" a="1"/>
  <c r="N14" i="24" s="1"/>
  <c r="I15" i="24"/>
  <c r="I23" i="24" s="1"/>
  <c r="J15" i="24"/>
  <c r="J23" i="24" s="1"/>
  <c r="K15" i="24"/>
  <c r="K23" i="24" s="1"/>
  <c r="F15" i="24"/>
  <c r="F23" i="24" s="1"/>
  <c r="C15" i="24"/>
  <c r="C23" i="24" s="1"/>
  <c r="C14" i="24" a="1"/>
  <c r="C14" i="24" s="1"/>
  <c r="D15" i="24"/>
  <c r="D23" i="24" s="1"/>
  <c r="L15" i="24"/>
  <c r="L23" i="24" s="1"/>
  <c r="E15" i="24"/>
  <c r="E23" i="24" s="1"/>
  <c r="M15" i="24"/>
  <c r="C27" i="24" s="1"/>
  <c r="C30" i="24" s="1"/>
  <c r="H85" i="23" s="1"/>
  <c r="G15" i="24"/>
  <c r="G23" i="24" s="1"/>
  <c r="H15" i="24"/>
  <c r="H23" i="24" s="1"/>
  <c r="G26" i="16"/>
  <c r="H23" i="16"/>
  <c r="I23" i="16" s="1"/>
  <c r="J23" i="16" s="1"/>
  <c r="K23" i="16" s="1"/>
  <c r="I16" i="23"/>
  <c r="I17" i="23" s="1"/>
  <c r="F18" i="23"/>
  <c r="E18" i="23"/>
  <c r="G15" i="23"/>
  <c r="H9" i="26"/>
  <c r="I9" i="26"/>
  <c r="I24" i="26" s="1"/>
  <c r="I5" i="21" s="1"/>
  <c r="H15" i="23"/>
  <c r="J13" i="23"/>
  <c r="K13" i="23" s="1"/>
  <c r="L13" i="23" s="1"/>
  <c r="I15" i="23"/>
  <c r="J14" i="26"/>
  <c r="J23" i="26" s="1"/>
  <c r="H13" i="26"/>
  <c r="I13" i="26"/>
  <c r="K13" i="26"/>
  <c r="L13" i="26"/>
  <c r="E14" i="26"/>
  <c r="G14" i="26"/>
  <c r="F14" i="26"/>
  <c r="F10" i="26"/>
  <c r="G10" i="26"/>
  <c r="H17" i="23"/>
  <c r="G17" i="23"/>
  <c r="D14" i="24" a="1"/>
  <c r="D14" i="24" s="1"/>
  <c r="O15" i="16" l="1"/>
  <c r="P15" i="16" s="1"/>
  <c r="P17" i="16" s="1"/>
  <c r="H113" i="1"/>
  <c r="H122" i="1" s="1"/>
  <c r="I5" i="16"/>
  <c r="I3" i="16" s="1"/>
  <c r="Z18" i="16" s="1"/>
  <c r="G3" i="16"/>
  <c r="X18" i="16" s="1"/>
  <c r="G4" i="16"/>
  <c r="H3" i="16"/>
  <c r="Y18" i="16" s="1"/>
  <c r="I8" i="16"/>
  <c r="H29" i="16"/>
  <c r="U41" i="38"/>
  <c r="T41" i="38"/>
  <c r="G85" i="23"/>
  <c r="G87" i="23" s="1"/>
  <c r="L22" i="26" s="1"/>
  <c r="H87" i="23"/>
  <c r="M22" i="26" s="1"/>
  <c r="D18" i="26"/>
  <c r="H24" i="26"/>
  <c r="E34" i="23"/>
  <c r="D34" i="23"/>
  <c r="D36" i="23" s="1"/>
  <c r="D37" i="23" s="1"/>
  <c r="G34" i="23"/>
  <c r="F34" i="23"/>
  <c r="K34" i="23"/>
  <c r="K36" i="23" s="1"/>
  <c r="J34" i="23"/>
  <c r="J36" i="23" s="1"/>
  <c r="H34" i="23"/>
  <c r="H36" i="23" s="1"/>
  <c r="I34" i="23"/>
  <c r="I36" i="23" s="1"/>
  <c r="M23" i="24"/>
  <c r="H26" i="16"/>
  <c r="J17" i="23"/>
  <c r="J18" i="23" s="1"/>
  <c r="I10" i="26"/>
  <c r="H14" i="26"/>
  <c r="H15" i="26" s="1"/>
  <c r="J10" i="26"/>
  <c r="K9" i="26"/>
  <c r="H10" i="26"/>
  <c r="I14" i="26"/>
  <c r="I23" i="26" s="1"/>
  <c r="G18" i="23"/>
  <c r="H18" i="23"/>
  <c r="F25" i="26"/>
  <c r="G15" i="26"/>
  <c r="F15" i="26"/>
  <c r="G25" i="26"/>
  <c r="I18" i="23"/>
  <c r="I14" i="24" a="1"/>
  <c r="I14" i="24" s="1"/>
  <c r="H14" i="24" a="1"/>
  <c r="H14" i="24" s="1"/>
  <c r="E14" i="24" a="1"/>
  <c r="E14" i="24" s="1"/>
  <c r="J14" i="24" a="1"/>
  <c r="J14" i="24" s="1"/>
  <c r="F14" i="24" a="1"/>
  <c r="F14" i="24" s="1"/>
  <c r="K14" i="24" a="1"/>
  <c r="K14" i="24" s="1"/>
  <c r="G14" i="24" a="1"/>
  <c r="G14" i="24" s="1"/>
  <c r="L14" i="24" a="1"/>
  <c r="L14" i="24" s="1"/>
  <c r="M14" i="24" a="1"/>
  <c r="M14" i="24" s="1"/>
  <c r="I26" i="16" l="1"/>
  <c r="I4" i="16"/>
  <c r="J5" i="16"/>
  <c r="J3" i="16" s="1"/>
  <c r="AA18" i="16" s="1"/>
  <c r="J8" i="16"/>
  <c r="I29" i="16"/>
  <c r="D30" i="26"/>
  <c r="H5" i="21"/>
  <c r="H23" i="26"/>
  <c r="K24" i="26"/>
  <c r="K5" i="21" s="1"/>
  <c r="AC34" i="23"/>
  <c r="AC36" i="23" s="1"/>
  <c r="AE34" i="23"/>
  <c r="AE36" i="23" s="1"/>
  <c r="AD34" i="23"/>
  <c r="AD36" i="23" s="1"/>
  <c r="AB34" i="23"/>
  <c r="AB36" i="23" s="1"/>
  <c r="AK34" i="23"/>
  <c r="AK36" i="23" s="1"/>
  <c r="AL34" i="23"/>
  <c r="AL36" i="23" s="1"/>
  <c r="AJ34" i="23"/>
  <c r="AJ36" i="23" s="1"/>
  <c r="AM34" i="23"/>
  <c r="AM36" i="23" s="1"/>
  <c r="AI34" i="23"/>
  <c r="AI36" i="23" s="1"/>
  <c r="AH34" i="23"/>
  <c r="AH36" i="23" s="1"/>
  <c r="AF34" i="23"/>
  <c r="AF36" i="23" s="1"/>
  <c r="AG34" i="23"/>
  <c r="AG36" i="23" s="1"/>
  <c r="AS34" i="23"/>
  <c r="AS36" i="23" s="1"/>
  <c r="AR34" i="23"/>
  <c r="AR36" i="23" s="1"/>
  <c r="AQ34" i="23"/>
  <c r="AQ36" i="23" s="1"/>
  <c r="AO34" i="23"/>
  <c r="AO36" i="23" s="1"/>
  <c r="AP34" i="23"/>
  <c r="AP36" i="23" s="1"/>
  <c r="AN34" i="23"/>
  <c r="AN36" i="23" s="1"/>
  <c r="U34" i="23"/>
  <c r="U36" i="23" s="1"/>
  <c r="W34" i="23"/>
  <c r="W36" i="23" s="1"/>
  <c r="T34" i="23"/>
  <c r="T36" i="23" s="1"/>
  <c r="V34" i="23"/>
  <c r="V36" i="23" s="1"/>
  <c r="S34" i="23"/>
  <c r="S36" i="23" s="1"/>
  <c r="Q34" i="23"/>
  <c r="Q36" i="23" s="1"/>
  <c r="R34" i="23"/>
  <c r="R36" i="23" s="1"/>
  <c r="P34" i="23"/>
  <c r="P36" i="23" s="1"/>
  <c r="M34" i="23"/>
  <c r="M36" i="23" s="1"/>
  <c r="N34" i="23"/>
  <c r="N36" i="23" s="1"/>
  <c r="L34" i="23"/>
  <c r="L36" i="23" s="1"/>
  <c r="O34" i="23"/>
  <c r="O36" i="23" s="1"/>
  <c r="AA34" i="23"/>
  <c r="AA36" i="23" s="1"/>
  <c r="Z34" i="23"/>
  <c r="Z36" i="23" s="1"/>
  <c r="Y34" i="23"/>
  <c r="Y36" i="23" s="1"/>
  <c r="X34" i="23"/>
  <c r="X36" i="23" s="1"/>
  <c r="I15" i="26"/>
  <c r="K17" i="23"/>
  <c r="K18" i="23" s="1"/>
  <c r="K14" i="26"/>
  <c r="K23" i="26" s="1"/>
  <c r="K10" i="26"/>
  <c r="L9" i="26"/>
  <c r="J15" i="26"/>
  <c r="L17" i="23"/>
  <c r="E36" i="23"/>
  <c r="F36" i="23"/>
  <c r="G36" i="23"/>
  <c r="J39" i="23"/>
  <c r="J40" i="23" s="1"/>
  <c r="J37" i="23"/>
  <c r="I37" i="23"/>
  <c r="I39" i="23"/>
  <c r="I40" i="23" s="1"/>
  <c r="H37" i="23"/>
  <c r="H39" i="23"/>
  <c r="H40" i="23" s="1"/>
  <c r="K39" i="23"/>
  <c r="K40" i="23" s="1"/>
  <c r="K37" i="23"/>
  <c r="K5" i="16" l="1"/>
  <c r="K3" i="16" s="1"/>
  <c r="AB18" i="16" s="1"/>
  <c r="J4" i="16"/>
  <c r="J26" i="16"/>
  <c r="K8" i="16"/>
  <c r="K29" i="16" s="1"/>
  <c r="J29" i="16"/>
  <c r="L24" i="26"/>
  <c r="L5" i="21" s="1"/>
  <c r="H25" i="26"/>
  <c r="J25" i="26"/>
  <c r="K25" i="26"/>
  <c r="I25" i="26"/>
  <c r="K15" i="26"/>
  <c r="M9" i="26"/>
  <c r="L14" i="26"/>
  <c r="L23" i="26" s="1"/>
  <c r="L10" i="26"/>
  <c r="L18" i="23"/>
  <c r="AG37" i="23"/>
  <c r="AG39" i="23"/>
  <c r="AG40" i="23" s="1"/>
  <c r="L37" i="23"/>
  <c r="L39" i="23"/>
  <c r="L40" i="23" s="1"/>
  <c r="AF37" i="23"/>
  <c r="AF39" i="23"/>
  <c r="AF40" i="23" s="1"/>
  <c r="AK39" i="23"/>
  <c r="AK40" i="23" s="1"/>
  <c r="AK37" i="23"/>
  <c r="AS39" i="23"/>
  <c r="AS40" i="23" s="1"/>
  <c r="AS37" i="23"/>
  <c r="Q37" i="23"/>
  <c r="Q39" i="23"/>
  <c r="Q40" i="23" s="1"/>
  <c r="D39" i="23"/>
  <c r="D40" i="23" s="1"/>
  <c r="AE39" i="23"/>
  <c r="AE40" i="23" s="1"/>
  <c r="AE37" i="23"/>
  <c r="P39" i="23"/>
  <c r="P40" i="23" s="1"/>
  <c r="P37" i="23"/>
  <c r="F39" i="23"/>
  <c r="F40" i="23" s="1"/>
  <c r="F37" i="23"/>
  <c r="AN37" i="23"/>
  <c r="AN39" i="23"/>
  <c r="AN40" i="23" s="1"/>
  <c r="AD39" i="23"/>
  <c r="AD40" i="23" s="1"/>
  <c r="AD37" i="23"/>
  <c r="S39" i="23"/>
  <c r="S40" i="23" s="1"/>
  <c r="S37" i="23"/>
  <c r="E39" i="23"/>
  <c r="E40" i="23" s="1"/>
  <c r="E37" i="23"/>
  <c r="AQ39" i="23"/>
  <c r="AQ40" i="23" s="1"/>
  <c r="AQ37" i="23"/>
  <c r="T39" i="23"/>
  <c r="T40" i="23" s="1"/>
  <c r="T37" i="23"/>
  <c r="AI39" i="23"/>
  <c r="AI40" i="23" s="1"/>
  <c r="AI37" i="23"/>
  <c r="AR37" i="23"/>
  <c r="AR39" i="23"/>
  <c r="AR40" i="23" s="1"/>
  <c r="W39" i="23"/>
  <c r="W40" i="23" s="1"/>
  <c r="W37" i="23"/>
  <c r="Z39" i="23"/>
  <c r="Z40" i="23" s="1"/>
  <c r="Z37" i="23"/>
  <c r="O39" i="23"/>
  <c r="O40" i="23" s="1"/>
  <c r="O37" i="23"/>
  <c r="AB37" i="23"/>
  <c r="AB39" i="23"/>
  <c r="AB40" i="23" s="1"/>
  <c r="V39" i="23"/>
  <c r="V40" i="23" s="1"/>
  <c r="V37" i="23"/>
  <c r="Y37" i="23"/>
  <c r="Y39" i="23"/>
  <c r="Y40" i="23" s="1"/>
  <c r="N39" i="23"/>
  <c r="N40" i="23" s="1"/>
  <c r="N37" i="23"/>
  <c r="AL39" i="23"/>
  <c r="AL40" i="23" s="1"/>
  <c r="AL37" i="23"/>
  <c r="AA39" i="23"/>
  <c r="AA40" i="23" s="1"/>
  <c r="AA37" i="23"/>
  <c r="R39" i="23"/>
  <c r="R40" i="23" s="1"/>
  <c r="R37" i="23"/>
  <c r="G39" i="23"/>
  <c r="G40" i="23" s="1"/>
  <c r="G37" i="23"/>
  <c r="AP39" i="23"/>
  <c r="AP40" i="23" s="1"/>
  <c r="AP37" i="23"/>
  <c r="AJ37" i="23"/>
  <c r="AJ39" i="23"/>
  <c r="AJ40" i="23" s="1"/>
  <c r="AO37" i="23"/>
  <c r="AO39" i="23"/>
  <c r="AO40" i="23" s="1"/>
  <c r="AC39" i="23"/>
  <c r="AC40" i="23" s="1"/>
  <c r="AC37" i="23"/>
  <c r="AH39" i="23"/>
  <c r="AH40" i="23" s="1"/>
  <c r="AH37" i="23"/>
  <c r="AM37" i="23"/>
  <c r="AM39" i="23"/>
  <c r="AM40" i="23" s="1"/>
  <c r="U37" i="23"/>
  <c r="U39" i="23"/>
  <c r="U40" i="23" s="1"/>
  <c r="X37" i="23"/>
  <c r="X39" i="23"/>
  <c r="M39" i="23"/>
  <c r="M40" i="23" s="1"/>
  <c r="M37" i="23"/>
  <c r="K4" i="16" l="1"/>
  <c r="K26" i="16"/>
  <c r="M10" i="26"/>
  <c r="M24" i="26"/>
  <c r="M5" i="21" s="1"/>
  <c r="M14" i="26"/>
  <c r="D17" i="26" s="1"/>
  <c r="L15" i="26"/>
  <c r="X40" i="23"/>
  <c r="M23" i="26" l="1"/>
  <c r="D26" i="26"/>
  <c r="D27" i="26"/>
  <c r="M15" i="26"/>
  <c r="L25" i="26"/>
  <c r="Y17" i="22"/>
  <c r="X17" i="22"/>
  <c r="W17" i="22"/>
  <c r="V17" i="22"/>
  <c r="U17" i="22"/>
  <c r="T17" i="22"/>
  <c r="S17" i="22"/>
  <c r="R17" i="22"/>
  <c r="O17" i="22"/>
  <c r="AB16" i="22"/>
  <c r="AC16" i="22"/>
  <c r="O16" i="22"/>
  <c r="AA15" i="22"/>
  <c r="Z15" i="22"/>
  <c r="Y15" i="22"/>
  <c r="X15" i="22"/>
  <c r="W15" i="22"/>
  <c r="V15" i="22"/>
  <c r="U15" i="22"/>
  <c r="T15" i="22"/>
  <c r="S15" i="22"/>
  <c r="R15" i="22"/>
  <c r="O15" i="22"/>
  <c r="N15" i="22"/>
  <c r="AB14" i="22"/>
  <c r="AC14" i="22"/>
  <c r="O14" i="22"/>
  <c r="N14" i="22"/>
  <c r="AB13" i="22"/>
  <c r="AC13" i="22"/>
  <c r="O13" i="22"/>
  <c r="N13" i="22"/>
  <c r="AA12" i="22"/>
  <c r="Z12" i="22"/>
  <c r="Y12" i="22"/>
  <c r="X12" i="22"/>
  <c r="W12" i="22"/>
  <c r="V12" i="22"/>
  <c r="U12" i="22"/>
  <c r="T12" i="22"/>
  <c r="S12" i="22"/>
  <c r="R12" i="22"/>
  <c r="O12" i="22"/>
  <c r="N12" i="22"/>
  <c r="AC11" i="22"/>
  <c r="O11" i="22"/>
  <c r="N11" i="22"/>
  <c r="X10" i="22"/>
  <c r="W10" i="22"/>
  <c r="V10" i="22"/>
  <c r="U10" i="22"/>
  <c r="T10" i="22"/>
  <c r="S10" i="22"/>
  <c r="R10" i="22"/>
  <c r="O10" i="22"/>
  <c r="N10" i="22"/>
  <c r="AA9" i="22"/>
  <c r="Z9" i="22"/>
  <c r="Y9" i="22"/>
  <c r="X9" i="22"/>
  <c r="W9" i="22"/>
  <c r="V9" i="22"/>
  <c r="U9" i="22"/>
  <c r="T9" i="22"/>
  <c r="S9" i="22"/>
  <c r="R9" i="22"/>
  <c r="O9" i="22"/>
  <c r="N9" i="22"/>
  <c r="P12" i="22" l="1"/>
  <c r="P14" i="22"/>
  <c r="P16" i="22"/>
  <c r="AC15" i="22"/>
  <c r="AB10" i="22"/>
  <c r="P10" i="22"/>
  <c r="AG17" i="22"/>
  <c r="P11" i="22"/>
  <c r="P13" i="22"/>
  <c r="P15" i="22"/>
  <c r="P17" i="22"/>
  <c r="AC10" i="22"/>
  <c r="AB12" i="22"/>
  <c r="AC9" i="22"/>
  <c r="AB15" i="22"/>
  <c r="AB17" i="22"/>
  <c r="AB9" i="22"/>
  <c r="AC12" i="22"/>
  <c r="P9" i="22"/>
  <c r="M25" i="26"/>
  <c r="AD14" i="22"/>
  <c r="AD16" i="22"/>
  <c r="AD13" i="22"/>
  <c r="AD11" i="22"/>
  <c r="AC17" i="22"/>
  <c r="AF17" i="22"/>
  <c r="G112" i="18"/>
  <c r="F112" i="18"/>
  <c r="E112" i="18"/>
  <c r="M106" i="18"/>
  <c r="L106" i="18"/>
  <c r="K106" i="18"/>
  <c r="J106" i="18"/>
  <c r="I106" i="18"/>
  <c r="H106" i="18"/>
  <c r="G106" i="18"/>
  <c r="F106" i="18"/>
  <c r="E106" i="18"/>
  <c r="M104" i="18"/>
  <c r="L104" i="18"/>
  <c r="K104" i="18"/>
  <c r="J104" i="18"/>
  <c r="I104" i="18"/>
  <c r="H104" i="18"/>
  <c r="G104" i="18"/>
  <c r="F104" i="18"/>
  <c r="E104" i="18"/>
  <c r="C104" i="18"/>
  <c r="M103" i="18"/>
  <c r="L103" i="18"/>
  <c r="K103" i="18"/>
  <c r="J103" i="18"/>
  <c r="I103" i="18"/>
  <c r="H103" i="18"/>
  <c r="G103" i="18"/>
  <c r="F103" i="18"/>
  <c r="E103" i="18"/>
  <c r="C103" i="18"/>
  <c r="M102" i="18"/>
  <c r="L102" i="18"/>
  <c r="K102" i="18"/>
  <c r="J102" i="18"/>
  <c r="I102" i="18"/>
  <c r="H102" i="18"/>
  <c r="G102" i="18"/>
  <c r="F102" i="18"/>
  <c r="E102" i="18"/>
  <c r="C102" i="18"/>
  <c r="M101" i="18"/>
  <c r="L101" i="18"/>
  <c r="K101" i="18"/>
  <c r="J101" i="18"/>
  <c r="I101" i="18"/>
  <c r="H101" i="18"/>
  <c r="G101" i="18"/>
  <c r="F101" i="18"/>
  <c r="E101" i="18"/>
  <c r="C101" i="18"/>
  <c r="M100" i="18"/>
  <c r="L100" i="18"/>
  <c r="K100" i="18"/>
  <c r="J100" i="18"/>
  <c r="I100" i="18"/>
  <c r="H100" i="18"/>
  <c r="G100" i="18"/>
  <c r="F100" i="18"/>
  <c r="E100" i="18"/>
  <c r="C100" i="18"/>
  <c r="M99" i="18"/>
  <c r="L99" i="18"/>
  <c r="K99" i="18"/>
  <c r="J99" i="18"/>
  <c r="I99" i="18"/>
  <c r="H99" i="18"/>
  <c r="G99" i="18"/>
  <c r="F99" i="18"/>
  <c r="E99" i="18"/>
  <c r="C99" i="18"/>
  <c r="M98" i="18"/>
  <c r="L98" i="18"/>
  <c r="K98" i="18"/>
  <c r="J98" i="18"/>
  <c r="I98" i="18"/>
  <c r="H98" i="18"/>
  <c r="G98" i="18"/>
  <c r="F98" i="18"/>
  <c r="E98" i="18"/>
  <c r="D91" i="18"/>
  <c r="I88" i="18"/>
  <c r="H88" i="18"/>
  <c r="G88" i="18"/>
  <c r="F88" i="18"/>
  <c r="E88" i="18"/>
  <c r="H81" i="18"/>
  <c r="I81" i="18" s="1"/>
  <c r="J81" i="18" s="1"/>
  <c r="K81" i="18" s="1"/>
  <c r="L81" i="18" s="1"/>
  <c r="M81" i="18" s="1"/>
  <c r="G76" i="18"/>
  <c r="F76" i="18"/>
  <c r="E76" i="18"/>
  <c r="G68" i="18"/>
  <c r="F68" i="18"/>
  <c r="E68" i="18"/>
  <c r="C66" i="18"/>
  <c r="C65" i="18"/>
  <c r="C64" i="18"/>
  <c r="C63" i="18"/>
  <c r="D57" i="18"/>
  <c r="D55" i="18"/>
  <c r="M53" i="18"/>
  <c r="G50" i="18"/>
  <c r="F50" i="18"/>
  <c r="E50" i="18"/>
  <c r="M44" i="18"/>
  <c r="L44" i="18"/>
  <c r="K44" i="18"/>
  <c r="J44" i="18"/>
  <c r="I44" i="18"/>
  <c r="H44" i="18"/>
  <c r="G38" i="18"/>
  <c r="F38" i="18"/>
  <c r="E38" i="18"/>
  <c r="H36" i="18"/>
  <c r="I36" i="18" s="1"/>
  <c r="J36" i="18" s="1"/>
  <c r="K36" i="18" s="1"/>
  <c r="L36" i="18" s="1"/>
  <c r="M36" i="18" s="1"/>
  <c r="H23" i="18"/>
  <c r="H22" i="18"/>
  <c r="H21" i="18"/>
  <c r="D18" i="18"/>
  <c r="D14" i="18"/>
  <c r="D12" i="18"/>
  <c r="M10" i="18"/>
  <c r="C38" i="17"/>
  <c r="D38" i="17"/>
  <c r="E38" i="17"/>
  <c r="F38" i="17"/>
  <c r="G38" i="17"/>
  <c r="H38" i="17"/>
  <c r="I38" i="17"/>
  <c r="J38" i="17"/>
  <c r="K38" i="17"/>
  <c r="G112" i="1"/>
  <c r="G122" i="1" s="1"/>
  <c r="F112" i="1"/>
  <c r="F122" i="1" s="1"/>
  <c r="F106" i="1"/>
  <c r="G106" i="1"/>
  <c r="H106" i="1"/>
  <c r="I106" i="1"/>
  <c r="J106" i="1"/>
  <c r="K106" i="1"/>
  <c r="L106" i="1"/>
  <c r="M106" i="1"/>
  <c r="F98" i="1"/>
  <c r="G98" i="1"/>
  <c r="H98" i="1"/>
  <c r="I98" i="1"/>
  <c r="J98" i="1"/>
  <c r="K98" i="1"/>
  <c r="L98" i="1"/>
  <c r="M98" i="1"/>
  <c r="E98" i="1"/>
  <c r="E100" i="1"/>
  <c r="F100" i="1"/>
  <c r="G100" i="1"/>
  <c r="H100" i="1"/>
  <c r="I100" i="1"/>
  <c r="J100" i="1"/>
  <c r="K100" i="1"/>
  <c r="L100" i="1"/>
  <c r="M100" i="1"/>
  <c r="E101" i="1"/>
  <c r="F101" i="1"/>
  <c r="G101" i="1"/>
  <c r="H101" i="1"/>
  <c r="I101" i="1"/>
  <c r="J101" i="1"/>
  <c r="K101" i="1"/>
  <c r="L101" i="1"/>
  <c r="M101" i="1"/>
  <c r="E102" i="1"/>
  <c r="F102" i="1"/>
  <c r="G102" i="1"/>
  <c r="H102" i="1"/>
  <c r="I102" i="1"/>
  <c r="J102" i="1"/>
  <c r="K102" i="1"/>
  <c r="L102" i="1"/>
  <c r="M102" i="1"/>
  <c r="E103" i="1"/>
  <c r="F103" i="1"/>
  <c r="G103" i="1"/>
  <c r="H103" i="1"/>
  <c r="I103" i="1"/>
  <c r="J103" i="1"/>
  <c r="K103" i="1"/>
  <c r="L103" i="1"/>
  <c r="M103" i="1"/>
  <c r="E104" i="1"/>
  <c r="F104" i="1"/>
  <c r="G104" i="1"/>
  <c r="H104" i="1"/>
  <c r="I104" i="1"/>
  <c r="J104" i="1"/>
  <c r="K104" i="1"/>
  <c r="L104" i="1"/>
  <c r="M104" i="1"/>
  <c r="E99" i="1"/>
  <c r="F99" i="1"/>
  <c r="G99" i="1"/>
  <c r="H99" i="1"/>
  <c r="I99" i="1"/>
  <c r="J99" i="1"/>
  <c r="K99" i="1"/>
  <c r="L99" i="1"/>
  <c r="M99" i="1"/>
  <c r="C104" i="1"/>
  <c r="C103" i="1"/>
  <c r="C102" i="1"/>
  <c r="C101" i="1"/>
  <c r="C100" i="1"/>
  <c r="C99" i="1"/>
  <c r="D91" i="1"/>
  <c r="F88" i="1"/>
  <c r="G88" i="1"/>
  <c r="H88" i="1"/>
  <c r="I88" i="1"/>
  <c r="E88" i="1"/>
  <c r="X19" i="16"/>
  <c r="I113" i="1" s="1"/>
  <c r="V19" i="16"/>
  <c r="G113" i="1" s="1"/>
  <c r="U19" i="16"/>
  <c r="F113" i="1" s="1"/>
  <c r="T19" i="16"/>
  <c r="E113" i="1" s="1"/>
  <c r="S19" i="16"/>
  <c r="Y2" i="16"/>
  <c r="AD15" i="22" l="1"/>
  <c r="AD10" i="22"/>
  <c r="AD9" i="22"/>
  <c r="AH17" i="22"/>
  <c r="F113" i="18"/>
  <c r="F114" i="18" s="1"/>
  <c r="E113" i="18"/>
  <c r="E114" i="18" s="1"/>
  <c r="G113" i="18"/>
  <c r="G114" i="18" s="1"/>
  <c r="E114" i="1"/>
  <c r="K123" i="1" s="1"/>
  <c r="AD12" i="22"/>
  <c r="AD17" i="22"/>
  <c r="F114" i="1"/>
  <c r="D94" i="1"/>
  <c r="G89" i="1"/>
  <c r="I113" i="18"/>
  <c r="J88" i="1"/>
  <c r="J89" i="1" s="1"/>
  <c r="J88" i="18"/>
  <c r="J89" i="18" s="1"/>
  <c r="F39" i="18"/>
  <c r="F51" i="18"/>
  <c r="D94" i="18"/>
  <c r="F89" i="18"/>
  <c r="E79" i="18"/>
  <c r="E84" i="18" s="1"/>
  <c r="E121" i="18"/>
  <c r="G39" i="18"/>
  <c r="G51" i="18"/>
  <c r="G89" i="18"/>
  <c r="F79" i="18"/>
  <c r="F84" i="18" s="1"/>
  <c r="G79" i="18"/>
  <c r="I89" i="1"/>
  <c r="I89" i="18"/>
  <c r="H89" i="18"/>
  <c r="F121" i="18"/>
  <c r="G121" i="18"/>
  <c r="G114" i="1"/>
  <c r="F89" i="1"/>
  <c r="H89" i="1"/>
  <c r="Y15" i="16"/>
  <c r="Y19" i="16"/>
  <c r="X15" i="16"/>
  <c r="H113" i="18"/>
  <c r="Z2" i="16"/>
  <c r="J123" i="1" l="1"/>
  <c r="I120" i="1"/>
  <c r="I114" i="1" s="1"/>
  <c r="I122" i="1" s="1"/>
  <c r="I123" i="1"/>
  <c r="M123" i="1"/>
  <c r="L123" i="1"/>
  <c r="M79" i="18"/>
  <c r="L79" i="18" s="1"/>
  <c r="H116" i="18"/>
  <c r="I116" i="18" s="1"/>
  <c r="G117" i="1"/>
  <c r="H117" i="1" s="1"/>
  <c r="G133" i="1"/>
  <c r="H137" i="1" s="1"/>
  <c r="G118" i="1"/>
  <c r="H139" i="1"/>
  <c r="E117" i="1"/>
  <c r="E120" i="1" s="1"/>
  <c r="E133" i="1"/>
  <c r="E118" i="1"/>
  <c r="M117" i="1" s="1"/>
  <c r="F117" i="1"/>
  <c r="F133" i="1"/>
  <c r="F118" i="1"/>
  <c r="J113" i="1"/>
  <c r="J113" i="18"/>
  <c r="M82" i="18"/>
  <c r="H82" i="18"/>
  <c r="I82" i="18"/>
  <c r="J82" i="18"/>
  <c r="K82" i="18"/>
  <c r="G84" i="18"/>
  <c r="L82" i="18"/>
  <c r="AA2" i="16"/>
  <c r="J120" i="1" l="1"/>
  <c r="J114" i="1" s="1"/>
  <c r="J122" i="1" s="1"/>
  <c r="K120" i="1"/>
  <c r="M120" i="1"/>
  <c r="L120" i="1"/>
  <c r="H114" i="18"/>
  <c r="I114" i="18"/>
  <c r="J116" i="18"/>
  <c r="J114" i="18" s="1"/>
  <c r="H121" i="18"/>
  <c r="I121" i="18"/>
  <c r="M119" i="1"/>
  <c r="E119" i="1"/>
  <c r="H119" i="1"/>
  <c r="K79" i="18"/>
  <c r="AB2" i="16"/>
  <c r="AB14" i="16" s="1"/>
  <c r="Y16" i="16" s="1"/>
  <c r="Z14" i="16" s="1"/>
  <c r="AA14" i="16" s="1"/>
  <c r="J121" i="18" l="1"/>
  <c r="K116" i="18"/>
  <c r="K114" i="18" s="1"/>
  <c r="Z15" i="16"/>
  <c r="K88" i="1"/>
  <c r="K89" i="1" s="1"/>
  <c r="Z19" i="16"/>
  <c r="K113" i="18" s="1"/>
  <c r="K88" i="18"/>
  <c r="K89" i="18" s="1"/>
  <c r="L88" i="1"/>
  <c r="L88" i="18"/>
  <c r="M88" i="1"/>
  <c r="D90" i="1" s="1"/>
  <c r="M88" i="18"/>
  <c r="J79" i="18"/>
  <c r="AB19" i="16"/>
  <c r="AB15" i="16"/>
  <c r="AA19" i="16"/>
  <c r="AA15" i="16"/>
  <c r="L116" i="18" l="1"/>
  <c r="M116" i="18" s="1"/>
  <c r="K121" i="18"/>
  <c r="K113" i="1"/>
  <c r="K114" i="1"/>
  <c r="K133" i="1" s="1"/>
  <c r="L137" i="1" s="1"/>
  <c r="L89" i="18"/>
  <c r="L89" i="1"/>
  <c r="L113" i="1"/>
  <c r="L113" i="18"/>
  <c r="M113" i="18"/>
  <c r="M113" i="1"/>
  <c r="D90" i="18"/>
  <c r="D92" i="18"/>
  <c r="M89" i="18"/>
  <c r="D92" i="1"/>
  <c r="M89" i="1"/>
  <c r="I79" i="18"/>
  <c r="E38" i="1"/>
  <c r="E76" i="1"/>
  <c r="H81" i="1"/>
  <c r="I81" i="1" s="1"/>
  <c r="J81" i="1" s="1"/>
  <c r="K81" i="1" s="1"/>
  <c r="F76" i="1"/>
  <c r="K122" i="1" l="1"/>
  <c r="L114" i="18"/>
  <c r="L121" i="18"/>
  <c r="M114" i="1"/>
  <c r="M133" i="1" s="1"/>
  <c r="H79" i="18"/>
  <c r="M114" i="18"/>
  <c r="M121" i="18"/>
  <c r="L81" i="1"/>
  <c r="M122" i="1" l="1"/>
  <c r="M81" i="1"/>
  <c r="F68" i="1" l="1"/>
  <c r="G68" i="1"/>
  <c r="E68" i="1"/>
  <c r="D57" i="1"/>
  <c r="M53" i="1"/>
  <c r="F50" i="1"/>
  <c r="G50" i="1"/>
  <c r="E50" i="1"/>
  <c r="D55" i="1"/>
  <c r="F10" i="14"/>
  <c r="F16" i="14" s="1"/>
  <c r="P22" i="14"/>
  <c r="P23" i="14"/>
  <c r="P21" i="14"/>
  <c r="E7" i="15"/>
  <c r="F7" i="15"/>
  <c r="G7" i="15"/>
  <c r="E8" i="15"/>
  <c r="F8" i="15"/>
  <c r="G8" i="15"/>
  <c r="E9" i="15"/>
  <c r="F9" i="15"/>
  <c r="G9" i="15"/>
  <c r="E10" i="15"/>
  <c r="F10" i="15"/>
  <c r="G10" i="15"/>
  <c r="E11" i="15"/>
  <c r="F11" i="15"/>
  <c r="G11" i="15"/>
  <c r="E12" i="15"/>
  <c r="F12" i="15"/>
  <c r="G12" i="15"/>
  <c r="E13" i="15"/>
  <c r="F13" i="15"/>
  <c r="G13" i="15"/>
  <c r="E14" i="15"/>
  <c r="F14" i="15"/>
  <c r="G14" i="15"/>
  <c r="E15" i="15"/>
  <c r="F15" i="15"/>
  <c r="G15" i="15"/>
  <c r="E16" i="15"/>
  <c r="F16" i="15"/>
  <c r="G16" i="15"/>
  <c r="E17" i="15"/>
  <c r="F17" i="15"/>
  <c r="G17" i="15"/>
  <c r="E18" i="15"/>
  <c r="F18" i="15"/>
  <c r="G18" i="15"/>
  <c r="E19" i="15"/>
  <c r="F19" i="15"/>
  <c r="G19" i="15"/>
  <c r="E20" i="15"/>
  <c r="F20" i="15"/>
  <c r="G20" i="15"/>
  <c r="E21" i="15"/>
  <c r="F21" i="15"/>
  <c r="G21" i="15"/>
  <c r="E22" i="15"/>
  <c r="F22" i="15"/>
  <c r="G22" i="15"/>
  <c r="E23" i="15"/>
  <c r="F23" i="15"/>
  <c r="G23" i="15"/>
  <c r="E24" i="15"/>
  <c r="F24" i="15"/>
  <c r="G24" i="15"/>
  <c r="E25" i="15"/>
  <c r="F25" i="15"/>
  <c r="G25" i="15"/>
  <c r="E26" i="15"/>
  <c r="F26" i="15"/>
  <c r="G26" i="15"/>
  <c r="G10" i="14"/>
  <c r="G16" i="14" s="1"/>
  <c r="Q11" i="14"/>
  <c r="Q10" i="14" s="1"/>
  <c r="R11" i="14"/>
  <c r="Q13" i="14"/>
  <c r="Q12" i="14" s="1"/>
  <c r="R13" i="14"/>
  <c r="Q15" i="14"/>
  <c r="Q14" i="14" s="1"/>
  <c r="R15" i="14"/>
  <c r="D16" i="14"/>
  <c r="E16" i="14"/>
  <c r="F17" i="14"/>
  <c r="G17" i="14"/>
  <c r="H17" i="14"/>
  <c r="I17" i="14"/>
  <c r="J17" i="14"/>
  <c r="K17" i="14"/>
  <c r="Q17" i="14"/>
  <c r="Q16" i="14" s="1"/>
  <c r="R17" i="14"/>
  <c r="D18" i="14"/>
  <c r="D19" i="14" s="1"/>
  <c r="P18" i="14"/>
  <c r="D5" i="14"/>
  <c r="E5" i="14"/>
  <c r="F5" i="14"/>
  <c r="G5" i="14"/>
  <c r="H5" i="14"/>
  <c r="I5" i="14"/>
  <c r="J5" i="14"/>
  <c r="K5" i="14"/>
  <c r="L5" i="14"/>
  <c r="M5" i="14"/>
  <c r="N5" i="14"/>
  <c r="O5" i="14"/>
  <c r="P5" i="14"/>
  <c r="Q5" i="14"/>
  <c r="R5" i="14"/>
  <c r="S5" i="14"/>
  <c r="T5" i="14"/>
  <c r="U5" i="14"/>
  <c r="V5" i="14"/>
  <c r="W5" i="14"/>
  <c r="M44" i="1"/>
  <c r="L44" i="1"/>
  <c r="K44" i="1"/>
  <c r="J44" i="1"/>
  <c r="I44" i="1"/>
  <c r="H44" i="1"/>
  <c r="C64" i="1"/>
  <c r="C65" i="1"/>
  <c r="C66" i="1"/>
  <c r="C63" i="1"/>
  <c r="M57" i="12"/>
  <c r="G66" i="18" s="1"/>
  <c r="L57" i="12"/>
  <c r="F66" i="18" s="1"/>
  <c r="K57" i="12"/>
  <c r="E66" i="18" s="1"/>
  <c r="J57" i="12"/>
  <c r="I57" i="12"/>
  <c r="H57" i="12"/>
  <c r="G57" i="12"/>
  <c r="F57" i="12"/>
  <c r="M56" i="12"/>
  <c r="G65" i="18" s="1"/>
  <c r="L56" i="12"/>
  <c r="F65" i="18" s="1"/>
  <c r="K56" i="12"/>
  <c r="E65" i="18" s="1"/>
  <c r="J56" i="12"/>
  <c r="I56" i="12"/>
  <c r="H56" i="12"/>
  <c r="G56" i="12"/>
  <c r="F56" i="12"/>
  <c r="M55" i="12"/>
  <c r="L55" i="12"/>
  <c r="K55" i="12"/>
  <c r="J55" i="12"/>
  <c r="I55" i="12"/>
  <c r="H55" i="12"/>
  <c r="G55" i="12"/>
  <c r="F55" i="12"/>
  <c r="M54" i="12"/>
  <c r="G63" i="18" s="1"/>
  <c r="L54" i="12"/>
  <c r="F63" i="18" s="1"/>
  <c r="K54" i="12"/>
  <c r="E63" i="18" s="1"/>
  <c r="J54" i="12"/>
  <c r="I54" i="12"/>
  <c r="H54" i="12"/>
  <c r="G54" i="12"/>
  <c r="F54" i="12"/>
  <c r="M50" i="12"/>
  <c r="L50" i="12"/>
  <c r="K50" i="12"/>
  <c r="J50" i="12"/>
  <c r="I50" i="12"/>
  <c r="H50" i="12"/>
  <c r="G50" i="12"/>
  <c r="M45" i="12"/>
  <c r="L45" i="12"/>
  <c r="K45" i="12"/>
  <c r="J45" i="12"/>
  <c r="I45" i="12"/>
  <c r="H45" i="12"/>
  <c r="G45" i="12"/>
  <c r="M40" i="12"/>
  <c r="L40" i="12"/>
  <c r="K40" i="12"/>
  <c r="J40" i="12"/>
  <c r="I40" i="12"/>
  <c r="H40" i="12"/>
  <c r="G40" i="12"/>
  <c r="M35" i="12"/>
  <c r="L35" i="12"/>
  <c r="K35" i="12"/>
  <c r="J35" i="12"/>
  <c r="I35" i="12"/>
  <c r="H35" i="12"/>
  <c r="G35" i="12"/>
  <c r="M30" i="12"/>
  <c r="L30" i="12"/>
  <c r="K30" i="12"/>
  <c r="J30" i="12"/>
  <c r="I30" i="12"/>
  <c r="H30" i="12"/>
  <c r="G30" i="12"/>
  <c r="M27" i="12"/>
  <c r="L27" i="12"/>
  <c r="K27" i="12"/>
  <c r="J27" i="12"/>
  <c r="I27" i="12"/>
  <c r="H27" i="12"/>
  <c r="G27" i="12"/>
  <c r="M26" i="12"/>
  <c r="L26" i="12"/>
  <c r="K26" i="12"/>
  <c r="J26" i="12"/>
  <c r="I26" i="12"/>
  <c r="H26" i="12"/>
  <c r="G26" i="12"/>
  <c r="H36" i="1"/>
  <c r="I36" i="1" s="1"/>
  <c r="J36" i="1" s="1"/>
  <c r="K36" i="1" s="1"/>
  <c r="L36" i="1" s="1"/>
  <c r="M36" i="1" s="1"/>
  <c r="F38" i="1"/>
  <c r="G38" i="1"/>
  <c r="BM203" i="11"/>
  <c r="BJ203" i="11"/>
  <c r="BI203" i="11"/>
  <c r="BC203" i="11"/>
  <c r="AG203" i="11"/>
  <c r="AH201" i="11" s="1"/>
  <c r="AI201" i="11" s="1"/>
  <c r="BE201" i="11"/>
  <c r="BD201" i="11"/>
  <c r="AK201" i="11"/>
  <c r="AG201" i="11"/>
  <c r="BO199" i="11"/>
  <c r="BO203" i="11" s="1"/>
  <c r="BN199" i="11"/>
  <c r="BN203" i="11" s="1"/>
  <c r="BH199" i="11"/>
  <c r="BH203" i="11" s="1"/>
  <c r="AJ199" i="11"/>
  <c r="AQ198" i="11"/>
  <c r="AL198" i="11"/>
  <c r="AG198" i="11"/>
  <c r="BO195" i="11"/>
  <c r="BN195" i="11"/>
  <c r="BM195" i="11"/>
  <c r="BL195" i="11"/>
  <c r="BJ195" i="11"/>
  <c r="BI195" i="11"/>
  <c r="BH195" i="11"/>
  <c r="BG195" i="11"/>
  <c r="BE195" i="11"/>
  <c r="BD195" i="11"/>
  <c r="BC195" i="11"/>
  <c r="BB195" i="11"/>
  <c r="AZ195" i="11"/>
  <c r="AY195" i="11"/>
  <c r="AX195" i="11"/>
  <c r="AW195" i="11"/>
  <c r="AU195" i="11"/>
  <c r="AT195" i="11"/>
  <c r="AS195" i="11"/>
  <c r="AP195" i="11"/>
  <c r="AO195" i="11"/>
  <c r="AN195" i="11"/>
  <c r="AM195" i="11"/>
  <c r="AK195" i="11"/>
  <c r="AJ195" i="11"/>
  <c r="AI195" i="11"/>
  <c r="AH195" i="11"/>
  <c r="AF195" i="11"/>
  <c r="AE195" i="11"/>
  <c r="AD195" i="11"/>
  <c r="AC195" i="11"/>
  <c r="AB195" i="11"/>
  <c r="AA195" i="11"/>
  <c r="Z195" i="11"/>
  <c r="Y195" i="11"/>
  <c r="X195" i="11"/>
  <c r="W195" i="11"/>
  <c r="V195" i="11"/>
  <c r="U195" i="11"/>
  <c r="T195" i="11"/>
  <c r="S195" i="11"/>
  <c r="R195" i="11"/>
  <c r="Q195" i="11"/>
  <c r="P195" i="11"/>
  <c r="O195" i="11"/>
  <c r="N195" i="11"/>
  <c r="M195" i="11"/>
  <c r="AQ193" i="11"/>
  <c r="AL193" i="11"/>
  <c r="AG193" i="11"/>
  <c r="AQ192" i="11"/>
  <c r="AL192" i="11"/>
  <c r="AG192" i="11"/>
  <c r="AQ191" i="11"/>
  <c r="AL191" i="11"/>
  <c r="AG191" i="11"/>
  <c r="AQ189" i="11"/>
  <c r="AL189" i="11"/>
  <c r="AG189" i="11"/>
  <c r="AQ188" i="11"/>
  <c r="AL188" i="11"/>
  <c r="AG188" i="11"/>
  <c r="AQ186" i="11"/>
  <c r="AL186" i="11"/>
  <c r="AG186" i="11"/>
  <c r="AQ185" i="11"/>
  <c r="AL185" i="11"/>
  <c r="AG185" i="11"/>
  <c r="AG182" i="11"/>
  <c r="BO179" i="11"/>
  <c r="BN179" i="11"/>
  <c r="BM179" i="11"/>
  <c r="BL179" i="11"/>
  <c r="BJ179" i="11"/>
  <c r="BI179" i="11"/>
  <c r="BH179" i="11"/>
  <c r="BG179" i="11"/>
  <c r="BE179" i="11"/>
  <c r="BD179" i="11"/>
  <c r="BC179" i="11"/>
  <c r="BB179" i="11"/>
  <c r="AZ179" i="11"/>
  <c r="AY179" i="11"/>
  <c r="AX179" i="11"/>
  <c r="AW179" i="11"/>
  <c r="AU179" i="11"/>
  <c r="AT179" i="11"/>
  <c r="AS179" i="11"/>
  <c r="AP179" i="11"/>
  <c r="AO179" i="11"/>
  <c r="AN179" i="11"/>
  <c r="AM179" i="11"/>
  <c r="AK179" i="11"/>
  <c r="AJ179" i="11"/>
  <c r="AI179" i="11"/>
  <c r="AH179" i="11"/>
  <c r="AF179" i="11"/>
  <c r="AE179" i="11"/>
  <c r="AD179" i="11"/>
  <c r="AC179" i="11"/>
  <c r="AB179" i="11"/>
  <c r="AA179" i="11"/>
  <c r="Z179" i="11"/>
  <c r="Y179" i="11"/>
  <c r="X179" i="11"/>
  <c r="W179" i="11"/>
  <c r="V179" i="11"/>
  <c r="U179" i="11"/>
  <c r="T179" i="11"/>
  <c r="S179" i="11"/>
  <c r="R179" i="11"/>
  <c r="Q179" i="11"/>
  <c r="P179" i="11"/>
  <c r="O179" i="11"/>
  <c r="N179" i="11"/>
  <c r="M179" i="11"/>
  <c r="AQ177" i="11"/>
  <c r="AL177" i="11"/>
  <c r="AG177" i="11"/>
  <c r="AQ175" i="11"/>
  <c r="AL175" i="11"/>
  <c r="AG175" i="11"/>
  <c r="AQ172" i="11"/>
  <c r="AL172" i="11"/>
  <c r="AG172" i="11"/>
  <c r="AL171" i="11"/>
  <c r="AG171" i="11"/>
  <c r="AQ170" i="11"/>
  <c r="AQ206" i="11" s="1"/>
  <c r="AL170" i="11"/>
  <c r="AL206" i="11" s="1"/>
  <c r="AG170" i="11"/>
  <c r="AG206" i="11" s="1"/>
  <c r="AQ169" i="11"/>
  <c r="AL169" i="11"/>
  <c r="AG169" i="11"/>
  <c r="AQ168" i="11"/>
  <c r="AL168" i="11"/>
  <c r="AG168" i="11"/>
  <c r="AQ167" i="11"/>
  <c r="AL167" i="11"/>
  <c r="AG167" i="11"/>
  <c r="AQ164" i="11"/>
  <c r="AQ162" i="11"/>
  <c r="AL162" i="11"/>
  <c r="BO159" i="11"/>
  <c r="BN159" i="11"/>
  <c r="BM159" i="11"/>
  <c r="BL159" i="11"/>
  <c r="BJ159" i="11"/>
  <c r="BI159" i="11"/>
  <c r="BH159" i="11"/>
  <c r="BG159" i="11"/>
  <c r="BE159" i="11"/>
  <c r="BD159" i="11"/>
  <c r="BC159" i="11"/>
  <c r="BB159" i="11"/>
  <c r="AZ159" i="11"/>
  <c r="AY159" i="11"/>
  <c r="AX159" i="11"/>
  <c r="AW159" i="11"/>
  <c r="AU159" i="11"/>
  <c r="AT159" i="11"/>
  <c r="AS159" i="11"/>
  <c r="AP159" i="11"/>
  <c r="AO159" i="11"/>
  <c r="AN159" i="11"/>
  <c r="AM159" i="11"/>
  <c r="AK159" i="11"/>
  <c r="AJ159" i="11"/>
  <c r="AI159" i="11"/>
  <c r="AH159" i="11"/>
  <c r="AF159" i="11"/>
  <c r="AE159" i="11"/>
  <c r="AD159" i="11"/>
  <c r="AC159" i="11"/>
  <c r="AB159" i="11"/>
  <c r="AA159" i="11"/>
  <c r="Z159" i="11"/>
  <c r="Y159" i="11"/>
  <c r="X159" i="11"/>
  <c r="W159" i="11"/>
  <c r="V159" i="11"/>
  <c r="U159" i="11"/>
  <c r="T159" i="11"/>
  <c r="S159" i="11"/>
  <c r="R159" i="11"/>
  <c r="Q159" i="11"/>
  <c r="P159" i="11"/>
  <c r="O159" i="11"/>
  <c r="N159" i="11"/>
  <c r="M159" i="11"/>
  <c r="AQ157" i="11"/>
  <c r="AL157" i="11"/>
  <c r="AG157" i="11"/>
  <c r="AQ156" i="11"/>
  <c r="AL156" i="11"/>
  <c r="AG156" i="11"/>
  <c r="AQ155" i="11"/>
  <c r="AL155" i="11"/>
  <c r="AG155" i="11"/>
  <c r="AQ154" i="11"/>
  <c r="AL154" i="11"/>
  <c r="AG154" i="11"/>
  <c r="AQ153" i="11"/>
  <c r="AL153" i="11"/>
  <c r="AG153" i="11"/>
  <c r="AQ150" i="11"/>
  <c r="AL150" i="11"/>
  <c r="AG150" i="11"/>
  <c r="AQ149" i="11"/>
  <c r="AL149" i="11"/>
  <c r="AG149" i="11"/>
  <c r="BO146" i="11"/>
  <c r="BN146" i="11"/>
  <c r="BM146" i="11"/>
  <c r="BL146" i="11"/>
  <c r="BK146" i="11"/>
  <c r="BJ146" i="11"/>
  <c r="BI146" i="11"/>
  <c r="BH146" i="11"/>
  <c r="BG146" i="11"/>
  <c r="BF146" i="11"/>
  <c r="BE146" i="11"/>
  <c r="BD146" i="11"/>
  <c r="BC146" i="11"/>
  <c r="BB146" i="11"/>
  <c r="BA146" i="11"/>
  <c r="AZ146" i="11"/>
  <c r="AY146" i="11"/>
  <c r="AL146" i="11"/>
  <c r="AK146" i="11"/>
  <c r="Y146" i="11"/>
  <c r="BF142" i="11"/>
  <c r="BG142" i="11" s="1"/>
  <c r="BA142" i="11"/>
  <c r="BB142" i="11" s="1"/>
  <c r="AZ142" i="11"/>
  <c r="AL142" i="11"/>
  <c r="AG142" i="11"/>
  <c r="BL141" i="11"/>
  <c r="BG141" i="11"/>
  <c r="BB141" i="11"/>
  <c r="AW141" i="11"/>
  <c r="AQ141" i="11"/>
  <c r="AL141" i="11"/>
  <c r="AG141" i="11"/>
  <c r="BO140" i="11"/>
  <c r="BO142" i="11" s="1"/>
  <c r="BN140" i="11"/>
  <c r="BN142" i="11" s="1"/>
  <c r="BM140" i="11"/>
  <c r="BM142" i="11" s="1"/>
  <c r="BK140" i="11"/>
  <c r="BL140" i="11" s="1"/>
  <c r="BJ140" i="11"/>
  <c r="BJ142" i="11" s="1"/>
  <c r="BI140" i="11"/>
  <c r="BI142" i="11" s="1"/>
  <c r="BH140" i="11"/>
  <c r="BH142" i="11" s="1"/>
  <c r="BG140" i="11"/>
  <c r="BB140" i="11"/>
  <c r="AY140" i="11"/>
  <c r="AY142" i="11" s="1"/>
  <c r="AX140" i="11"/>
  <c r="AX142" i="11" s="1"/>
  <c r="AV140" i="11"/>
  <c r="AV142" i="11" s="1"/>
  <c r="AW142" i="11" s="1"/>
  <c r="AP140" i="11"/>
  <c r="AP142" i="11" s="1"/>
  <c r="AQ142" i="11" s="1"/>
  <c r="AO140" i="11"/>
  <c r="AO142" i="11" s="1"/>
  <c r="AN140" i="11"/>
  <c r="AN142" i="11" s="1"/>
  <c r="AL140" i="11"/>
  <c r="AG140" i="11"/>
  <c r="BL139" i="11"/>
  <c r="BG139" i="11"/>
  <c r="BB139" i="11"/>
  <c r="AW139" i="11"/>
  <c r="AQ139" i="11"/>
  <c r="AL139" i="11"/>
  <c r="AG139" i="11"/>
  <c r="BL138" i="11"/>
  <c r="BG138" i="11"/>
  <c r="BB138" i="11"/>
  <c r="AW138" i="11"/>
  <c r="AQ138" i="11"/>
  <c r="AL138" i="11"/>
  <c r="AG138" i="11"/>
  <c r="BL137" i="11"/>
  <c r="BG137" i="11"/>
  <c r="BB137" i="11"/>
  <c r="AW137" i="11"/>
  <c r="AQ137" i="11"/>
  <c r="AL137" i="11"/>
  <c r="AG137" i="11"/>
  <c r="BL136" i="11"/>
  <c r="BG136" i="11"/>
  <c r="BB136" i="11"/>
  <c r="AW136" i="11"/>
  <c r="AQ136" i="11"/>
  <c r="AL136" i="11"/>
  <c r="AG136" i="11"/>
  <c r="BH134" i="11"/>
  <c r="BG134" i="11"/>
  <c r="BA134" i="11"/>
  <c r="BB134" i="11" s="1"/>
  <c r="AZ134" i="11"/>
  <c r="AM134" i="11"/>
  <c r="AK134" i="11"/>
  <c r="AL134" i="11" s="1"/>
  <c r="AG134" i="11"/>
  <c r="BO133" i="11"/>
  <c r="BO134" i="11" s="1"/>
  <c r="BN133" i="11"/>
  <c r="BN134" i="11" s="1"/>
  <c r="BM133" i="11"/>
  <c r="BM134" i="11" s="1"/>
  <c r="BK133" i="11"/>
  <c r="BL133" i="11" s="1"/>
  <c r="BJ133" i="11"/>
  <c r="BJ134" i="11" s="1"/>
  <c r="BI133" i="11"/>
  <c r="BI134" i="11" s="1"/>
  <c r="BG133" i="11"/>
  <c r="BB133" i="11"/>
  <c r="AY133" i="11"/>
  <c r="AY134" i="11" s="1"/>
  <c r="AX133" i="11"/>
  <c r="AX134" i="11" s="1"/>
  <c r="AV133" i="11"/>
  <c r="AV134" i="11" s="1"/>
  <c r="AW134" i="11" s="1"/>
  <c r="AP133" i="11"/>
  <c r="AP134" i="11" s="1"/>
  <c r="AQ134" i="11" s="1"/>
  <c r="AO133" i="11"/>
  <c r="AO134" i="11" s="1"/>
  <c r="AN133" i="11"/>
  <c r="AN134" i="11" s="1"/>
  <c r="AL133" i="11"/>
  <c r="AG133" i="11"/>
  <c r="BL132" i="11"/>
  <c r="BG132" i="11"/>
  <c r="BB132" i="11"/>
  <c r="AW132" i="11"/>
  <c r="AQ132" i="11"/>
  <c r="AL132" i="11"/>
  <c r="AG132" i="11"/>
  <c r="BL131" i="11"/>
  <c r="BG131" i="11"/>
  <c r="BB131" i="11"/>
  <c r="AW131" i="11"/>
  <c r="AQ131" i="11"/>
  <c r="AL131" i="11"/>
  <c r="AG131" i="11"/>
  <c r="BL130" i="11"/>
  <c r="BG130" i="11"/>
  <c r="BB130" i="11"/>
  <c r="AW130" i="11"/>
  <c r="AQ130" i="11"/>
  <c r="AL130" i="11"/>
  <c r="AG130" i="11"/>
  <c r="BL129" i="11"/>
  <c r="BG129" i="11"/>
  <c r="BB129" i="11"/>
  <c r="AW129" i="11"/>
  <c r="AQ129" i="11"/>
  <c r="AL129" i="11"/>
  <c r="AG129" i="11"/>
  <c r="BL128" i="11"/>
  <c r="BL127" i="11"/>
  <c r="BG127" i="11"/>
  <c r="BB127" i="11"/>
  <c r="AW127" i="11"/>
  <c r="AQ127" i="11"/>
  <c r="AL127" i="11"/>
  <c r="AG127" i="11"/>
  <c r="BL126" i="11"/>
  <c r="BG126" i="11"/>
  <c r="BB126" i="11"/>
  <c r="AW126" i="11"/>
  <c r="AQ126" i="11"/>
  <c r="AL126" i="11"/>
  <c r="AG126" i="11"/>
  <c r="BL125" i="11"/>
  <c r="BG125" i="11"/>
  <c r="BB125" i="11"/>
  <c r="AW125" i="11"/>
  <c r="AQ125" i="11"/>
  <c r="AL125" i="11"/>
  <c r="AG125" i="11"/>
  <c r="BO124" i="11"/>
  <c r="BN124" i="11"/>
  <c r="BM124" i="11"/>
  <c r="BK124" i="11"/>
  <c r="BL124" i="11" s="1"/>
  <c r="BJ124" i="11"/>
  <c r="BI124" i="11"/>
  <c r="BF124" i="11"/>
  <c r="BG124" i="11" s="1"/>
  <c r="BE124" i="11"/>
  <c r="BA124" i="11"/>
  <c r="BB124" i="11" s="1"/>
  <c r="AZ124" i="11"/>
  <c r="AY124" i="11"/>
  <c r="AX124" i="11"/>
  <c r="AV124" i="11"/>
  <c r="AW124" i="11" s="1"/>
  <c r="AP124" i="11"/>
  <c r="AQ124" i="11" s="1"/>
  <c r="AO124" i="11"/>
  <c r="AN124" i="11"/>
  <c r="AM124" i="11"/>
  <c r="AK124" i="11"/>
  <c r="AL124" i="11" s="1"/>
  <c r="AJ124" i="11"/>
  <c r="AG124" i="11"/>
  <c r="BL123" i="11"/>
  <c r="BG123" i="11"/>
  <c r="BB123" i="11"/>
  <c r="AW123" i="11"/>
  <c r="AQ123" i="11"/>
  <c r="AL123" i="11"/>
  <c r="AG123" i="11"/>
  <c r="BL122" i="11"/>
  <c r="BH122" i="11"/>
  <c r="BG122" i="11"/>
  <c r="BB122" i="11"/>
  <c r="AW122" i="11"/>
  <c r="AQ122" i="11"/>
  <c r="AL122" i="11"/>
  <c r="AG122" i="11"/>
  <c r="BL121" i="11"/>
  <c r="BG121" i="11"/>
  <c r="BB121" i="11"/>
  <c r="AW121" i="11"/>
  <c r="AQ121" i="11"/>
  <c r="AL121" i="11"/>
  <c r="AG121" i="11"/>
  <c r="BE120" i="11"/>
  <c r="BD120" i="11"/>
  <c r="AW120" i="11"/>
  <c r="AP120" i="11"/>
  <c r="AQ120" i="11" s="1"/>
  <c r="AO120" i="11"/>
  <c r="BL118" i="11"/>
  <c r="BG118" i="11"/>
  <c r="BB118" i="11"/>
  <c r="AW118" i="11"/>
  <c r="AQ118" i="11"/>
  <c r="AL118" i="11"/>
  <c r="AG118" i="11"/>
  <c r="BN117" i="11"/>
  <c r="BM117" i="11"/>
  <c r="BK117" i="11"/>
  <c r="BL117" i="11" s="1"/>
  <c r="BJ117" i="11"/>
  <c r="BI117" i="11"/>
  <c r="BH117" i="11"/>
  <c r="BF117" i="11"/>
  <c r="BG117" i="11" s="1"/>
  <c r="BE117" i="11"/>
  <c r="BA117" i="11"/>
  <c r="BB117" i="11" s="1"/>
  <c r="AZ117" i="11"/>
  <c r="AY117" i="11"/>
  <c r="AX117" i="11"/>
  <c r="AV117" i="11"/>
  <c r="AW117" i="11" s="1"/>
  <c r="AP117" i="11"/>
  <c r="AQ117" i="11" s="1"/>
  <c r="AO117" i="11"/>
  <c r="AN117" i="11"/>
  <c r="AM117" i="11"/>
  <c r="AK117" i="11"/>
  <c r="AL117" i="11" s="1"/>
  <c r="AJ117" i="11"/>
  <c r="AG117" i="11"/>
  <c r="BL116" i="11"/>
  <c r="BG116" i="11"/>
  <c r="BB116" i="11"/>
  <c r="AW116" i="11"/>
  <c r="AQ116" i="11"/>
  <c r="AL116" i="11"/>
  <c r="AG116" i="11"/>
  <c r="BL115" i="11"/>
  <c r="BG115" i="11"/>
  <c r="BB115" i="11"/>
  <c r="AW115" i="11"/>
  <c r="AQ115" i="11"/>
  <c r="AL115" i="11"/>
  <c r="AG115" i="11"/>
  <c r="BL114" i="11"/>
  <c r="BM206" i="11" s="1"/>
  <c r="BG114" i="11"/>
  <c r="BH206" i="11" s="1"/>
  <c r="BB114" i="11"/>
  <c r="BC206" i="11" s="1"/>
  <c r="AW114" i="11"/>
  <c r="AX206" i="11" s="1"/>
  <c r="AQ114" i="11"/>
  <c r="AL114" i="11"/>
  <c r="AM206" i="11" s="1"/>
  <c r="AG114" i="11"/>
  <c r="AH206" i="11" s="1"/>
  <c r="BO113" i="11"/>
  <c r="BO104" i="11" s="1"/>
  <c r="BN113" i="11"/>
  <c r="BN104" i="11" s="1"/>
  <c r="BM113" i="11"/>
  <c r="BM104" i="11" s="1"/>
  <c r="BK113" i="11"/>
  <c r="BL113" i="11" s="1"/>
  <c r="BJ113" i="11"/>
  <c r="BI113" i="11"/>
  <c r="BH113" i="11"/>
  <c r="BF113" i="11"/>
  <c r="BE113" i="11"/>
  <c r="BA113" i="11"/>
  <c r="BB113" i="11" s="1"/>
  <c r="AZ113" i="11"/>
  <c r="AZ104" i="11" s="1"/>
  <c r="AZ120" i="11" s="1"/>
  <c r="AY113" i="11"/>
  <c r="AY104" i="11" s="1"/>
  <c r="AY120" i="11" s="1"/>
  <c r="AX113" i="11"/>
  <c r="AX104" i="11" s="1"/>
  <c r="AX120" i="11" s="1"/>
  <c r="AV113" i="11"/>
  <c r="AW113" i="11" s="1"/>
  <c r="AQ113" i="11"/>
  <c r="AO113" i="11"/>
  <c r="AN113" i="11"/>
  <c r="AN104" i="11" s="1"/>
  <c r="AN120" i="11" s="1"/>
  <c r="AM113" i="11"/>
  <c r="AM104" i="11" s="1"/>
  <c r="AM120" i="11" s="1"/>
  <c r="AK113" i="11"/>
  <c r="AK104" i="11" s="1"/>
  <c r="AL104" i="11" s="1"/>
  <c r="AG113" i="11"/>
  <c r="BL112" i="11"/>
  <c r="BG112" i="11"/>
  <c r="BB112" i="11"/>
  <c r="AW112" i="11"/>
  <c r="AQ112" i="11"/>
  <c r="AL112" i="11"/>
  <c r="AG112" i="11"/>
  <c r="BL111" i="11"/>
  <c r="BG111" i="11"/>
  <c r="BB111" i="11"/>
  <c r="AW111" i="11"/>
  <c r="AQ111" i="11"/>
  <c r="AL111" i="11"/>
  <c r="AG111" i="11"/>
  <c r="BL110" i="11"/>
  <c r="BG110" i="11"/>
  <c r="BB110" i="11"/>
  <c r="AW110" i="11"/>
  <c r="AQ110" i="11"/>
  <c r="AL110" i="11"/>
  <c r="AG110" i="11"/>
  <c r="BL109" i="11"/>
  <c r="BG109" i="11"/>
  <c r="BB109" i="11"/>
  <c r="AW109" i="11"/>
  <c r="AQ109" i="11"/>
  <c r="AL109" i="11"/>
  <c r="AG109" i="11"/>
  <c r="BL108" i="11"/>
  <c r="BG108" i="11"/>
  <c r="BB108" i="11"/>
  <c r="AW108" i="11"/>
  <c r="AQ108" i="11"/>
  <c r="AL108" i="11"/>
  <c r="AG108" i="11"/>
  <c r="BL107" i="11"/>
  <c r="BG107" i="11"/>
  <c r="BB107" i="11"/>
  <c r="AW107" i="11"/>
  <c r="AQ107" i="11"/>
  <c r="AL107" i="11"/>
  <c r="AG107" i="11"/>
  <c r="BL106" i="11"/>
  <c r="BG106" i="11"/>
  <c r="BB106" i="11"/>
  <c r="AW106" i="11"/>
  <c r="AQ106" i="11"/>
  <c r="AL106" i="11"/>
  <c r="AG106" i="11"/>
  <c r="BL105" i="11"/>
  <c r="BG105" i="11"/>
  <c r="BB105" i="11"/>
  <c r="AW105" i="11"/>
  <c r="AQ105" i="11"/>
  <c r="AL105" i="11"/>
  <c r="AG105" i="11"/>
  <c r="BJ104" i="11"/>
  <c r="BI104" i="11"/>
  <c r="BH104" i="11"/>
  <c r="AQ104" i="11"/>
  <c r="AG104" i="11"/>
  <c r="BO103" i="11"/>
  <c r="BN103" i="11"/>
  <c r="BM103" i="11"/>
  <c r="BL103" i="11"/>
  <c r="BK103" i="11"/>
  <c r="BJ103" i="11"/>
  <c r="BI103" i="11"/>
  <c r="BH103" i="11"/>
  <c r="BG103" i="11"/>
  <c r="BF103" i="11"/>
  <c r="BE103" i="11"/>
  <c r="BD103" i="11"/>
  <c r="BC103" i="11"/>
  <c r="BB103" i="11"/>
  <c r="BA103" i="11"/>
  <c r="AZ103" i="11"/>
  <c r="AY103" i="11"/>
  <c r="AL103" i="11"/>
  <c r="AK103" i="11"/>
  <c r="BA100" i="11"/>
  <c r="AA100" i="11"/>
  <c r="Z100" i="11"/>
  <c r="Y100" i="11"/>
  <c r="X100" i="11"/>
  <c r="W100" i="11"/>
  <c r="V100" i="11"/>
  <c r="U100" i="11"/>
  <c r="T100" i="11"/>
  <c r="S100" i="11"/>
  <c r="R100" i="11"/>
  <c r="P100" i="11"/>
  <c r="O100" i="11"/>
  <c r="N100" i="11"/>
  <c r="M100" i="11"/>
  <c r="BA99" i="11"/>
  <c r="AA99" i="11"/>
  <c r="Z99" i="11"/>
  <c r="Y99" i="11"/>
  <c r="X99" i="11"/>
  <c r="W99" i="11"/>
  <c r="V99" i="11"/>
  <c r="U99" i="11"/>
  <c r="T99" i="11"/>
  <c r="S99" i="11"/>
  <c r="R99" i="11"/>
  <c r="P99" i="11"/>
  <c r="O99" i="11"/>
  <c r="N99" i="11"/>
  <c r="M99" i="11"/>
  <c r="BO97" i="11"/>
  <c r="BN97" i="11"/>
  <c r="BM97" i="11"/>
  <c r="BK97" i="11"/>
  <c r="BJ97" i="11"/>
  <c r="BI97" i="11"/>
  <c r="BH97" i="11"/>
  <c r="BF97" i="11"/>
  <c r="X97" i="11"/>
  <c r="W97" i="11"/>
  <c r="V97" i="11"/>
  <c r="U97" i="11"/>
  <c r="T97" i="11"/>
  <c r="S97" i="11"/>
  <c r="R97" i="11"/>
  <c r="Q97" i="11"/>
  <c r="P97" i="11"/>
  <c r="O97" i="11"/>
  <c r="N97" i="11"/>
  <c r="M97" i="11"/>
  <c r="L97" i="11"/>
  <c r="K97" i="11"/>
  <c r="J97" i="11"/>
  <c r="I97" i="11"/>
  <c r="H97" i="11"/>
  <c r="G97" i="11"/>
  <c r="F97" i="11"/>
  <c r="E97" i="11"/>
  <c r="D97" i="11"/>
  <c r="BO96" i="11"/>
  <c r="BN96" i="11"/>
  <c r="BM96" i="11"/>
  <c r="BK96" i="11"/>
  <c r="BJ96" i="11"/>
  <c r="BI96" i="11"/>
  <c r="BH96" i="11"/>
  <c r="BF96" i="11"/>
  <c r="X96" i="11"/>
  <c r="W96" i="11"/>
  <c r="V96" i="11"/>
  <c r="U96" i="11"/>
  <c r="T96" i="11"/>
  <c r="S96" i="11"/>
  <c r="R96" i="11"/>
  <c r="Q96" i="11"/>
  <c r="P96" i="11"/>
  <c r="O96" i="11"/>
  <c r="N96" i="11"/>
  <c r="M96" i="11"/>
  <c r="L96" i="11"/>
  <c r="K96" i="11"/>
  <c r="J96" i="11"/>
  <c r="I96" i="11"/>
  <c r="H96" i="11"/>
  <c r="G96" i="11"/>
  <c r="F96" i="11"/>
  <c r="E96" i="11"/>
  <c r="D96" i="11"/>
  <c r="BL95" i="11"/>
  <c r="BG95" i="11"/>
  <c r="BB95" i="11"/>
  <c r="AW95" i="11"/>
  <c r="AQ95" i="11"/>
  <c r="AL95" i="11"/>
  <c r="BO94" i="11"/>
  <c r="BN94" i="11"/>
  <c r="BM94" i="11"/>
  <c r="BK94" i="11"/>
  <c r="BJ94" i="11"/>
  <c r="BI94" i="11"/>
  <c r="BH94" i="11"/>
  <c r="BF94" i="11"/>
  <c r="BE94" i="11"/>
  <c r="BD94" i="11"/>
  <c r="BC94" i="11"/>
  <c r="BA94" i="11"/>
  <c r="AZ94" i="11"/>
  <c r="AY94" i="11"/>
  <c r="AX94" i="11"/>
  <c r="AV94" i="11"/>
  <c r="AU94" i="11"/>
  <c r="AT94" i="11"/>
  <c r="AS94" i="11"/>
  <c r="AP94" i="11"/>
  <c r="AO94" i="11"/>
  <c r="AN94" i="11"/>
  <c r="AM94" i="11"/>
  <c r="AK94" i="11"/>
  <c r="AJ94" i="11"/>
  <c r="AI94" i="11"/>
  <c r="AH94" i="11"/>
  <c r="AG94" i="11"/>
  <c r="AF94" i="11"/>
  <c r="AE94" i="11"/>
  <c r="AD94" i="11"/>
  <c r="AC94" i="11"/>
  <c r="X94" i="11"/>
  <c r="AB94" i="11" s="1"/>
  <c r="W94" i="11"/>
  <c r="V94" i="11"/>
  <c r="T94" i="11"/>
  <c r="S94" i="11"/>
  <c r="R94" i="11"/>
  <c r="Q94" i="11"/>
  <c r="P94" i="11"/>
  <c r="O94" i="11"/>
  <c r="N94" i="11"/>
  <c r="BL93" i="11"/>
  <c r="BG93" i="11"/>
  <c r="BB93" i="11"/>
  <c r="AW93" i="11"/>
  <c r="AQ93" i="11"/>
  <c r="AL93" i="11"/>
  <c r="AB93" i="11"/>
  <c r="BL92" i="11"/>
  <c r="BG92" i="11"/>
  <c r="BB92" i="11"/>
  <c r="AW92" i="11"/>
  <c r="AQ92" i="11"/>
  <c r="AL92" i="11"/>
  <c r="AB92" i="11"/>
  <c r="BO86" i="11"/>
  <c r="BN86" i="11"/>
  <c r="BM86" i="11"/>
  <c r="BK86" i="11"/>
  <c r="BJ86" i="11"/>
  <c r="BI86" i="11"/>
  <c r="BH86" i="11"/>
  <c r="BF86" i="11"/>
  <c r="BE86" i="11"/>
  <c r="BD86" i="11"/>
  <c r="BC86" i="11"/>
  <c r="BA86" i="11"/>
  <c r="AZ86" i="11"/>
  <c r="AY86" i="11"/>
  <c r="AX86" i="11"/>
  <c r="AV86" i="11"/>
  <c r="AU86" i="11"/>
  <c r="AT86" i="11"/>
  <c r="AS86" i="11"/>
  <c r="AK86" i="11"/>
  <c r="AJ86" i="11"/>
  <c r="AI86" i="11"/>
  <c r="AH86" i="11"/>
  <c r="AG86" i="11"/>
  <c r="AF86" i="11"/>
  <c r="AE86" i="11"/>
  <c r="AD86" i="11"/>
  <c r="AC86" i="11"/>
  <c r="AB86" i="11"/>
  <c r="X86" i="11"/>
  <c r="W86" i="11"/>
  <c r="V86" i="11"/>
  <c r="U86" i="11"/>
  <c r="T86" i="11"/>
  <c r="S86" i="11"/>
  <c r="R86" i="11"/>
  <c r="Q86" i="11"/>
  <c r="P86" i="11"/>
  <c r="O86" i="11"/>
  <c r="N86" i="11"/>
  <c r="L86" i="11"/>
  <c r="K86" i="11"/>
  <c r="J86" i="11"/>
  <c r="I86" i="11"/>
  <c r="BG85" i="11"/>
  <c r="BB85" i="11"/>
  <c r="AW85" i="11"/>
  <c r="M85" i="11"/>
  <c r="BB84" i="11"/>
  <c r="BB88" i="11" s="1"/>
  <c r="AW84" i="11"/>
  <c r="M84" i="11"/>
  <c r="BO80" i="11"/>
  <c r="BN80" i="11"/>
  <c r="BM80" i="11"/>
  <c r="BK80" i="11"/>
  <c r="BJ80" i="11"/>
  <c r="BI80" i="11"/>
  <c r="BH80" i="11"/>
  <c r="BF80" i="11"/>
  <c r="BE80" i="11"/>
  <c r="BD80" i="11"/>
  <c r="BC80" i="11"/>
  <c r="BA80" i="11"/>
  <c r="AZ80" i="11"/>
  <c r="AY80" i="11"/>
  <c r="AX80" i="11"/>
  <c r="AV80" i="11"/>
  <c r="AU80" i="11"/>
  <c r="AT80" i="11"/>
  <c r="AS80" i="11"/>
  <c r="AK80" i="11"/>
  <c r="AJ80" i="11"/>
  <c r="AI80" i="11"/>
  <c r="AH80" i="11"/>
  <c r="AG80" i="11"/>
  <c r="AF80" i="11"/>
  <c r="AE80" i="11"/>
  <c r="AD80" i="11"/>
  <c r="AC80" i="11"/>
  <c r="AB80" i="11"/>
  <c r="X80" i="11"/>
  <c r="W80" i="11"/>
  <c r="V80" i="11"/>
  <c r="U80" i="11"/>
  <c r="T80" i="11"/>
  <c r="S80" i="11"/>
  <c r="R80" i="11"/>
  <c r="Q80" i="11"/>
  <c r="P80" i="11"/>
  <c r="O80" i="11"/>
  <c r="N80" i="11"/>
  <c r="L80" i="11"/>
  <c r="K80" i="11"/>
  <c r="J80" i="11"/>
  <c r="I80" i="11"/>
  <c r="BL79" i="11"/>
  <c r="BG79" i="11"/>
  <c r="BB79" i="11"/>
  <c r="AW79" i="11"/>
  <c r="M79" i="11"/>
  <c r="BB78" i="11"/>
  <c r="BB82" i="11" s="1"/>
  <c r="AW78" i="11"/>
  <c r="M78" i="11"/>
  <c r="BO74" i="11"/>
  <c r="BN74" i="11"/>
  <c r="BM74" i="11"/>
  <c r="BK74" i="11"/>
  <c r="BJ74" i="11"/>
  <c r="BI74" i="11"/>
  <c r="BH74" i="11"/>
  <c r="BF74" i="11"/>
  <c r="BE74" i="11"/>
  <c r="BD74" i="11"/>
  <c r="BC74" i="11"/>
  <c r="BA74" i="11"/>
  <c r="AZ74" i="11"/>
  <c r="AY74" i="11"/>
  <c r="AX74" i="11"/>
  <c r="AV74" i="11"/>
  <c r="AU74" i="11"/>
  <c r="AT74" i="11"/>
  <c r="AS74" i="11"/>
  <c r="AK74" i="11"/>
  <c r="AJ74" i="11"/>
  <c r="AI74" i="11"/>
  <c r="AH74" i="11"/>
  <c r="AG74" i="11"/>
  <c r="AF74" i="11"/>
  <c r="AE74" i="11"/>
  <c r="X74" i="11"/>
  <c r="W74" i="11"/>
  <c r="V74" i="11"/>
  <c r="U74" i="11"/>
  <c r="T74" i="11"/>
  <c r="S74" i="11"/>
  <c r="R74" i="11"/>
  <c r="Q74" i="11"/>
  <c r="P74" i="11"/>
  <c r="O74" i="11"/>
  <c r="N74" i="11"/>
  <c r="L74" i="11"/>
  <c r="K74" i="11"/>
  <c r="J74" i="11"/>
  <c r="I74" i="11"/>
  <c r="BL73" i="11"/>
  <c r="BG73" i="11"/>
  <c r="BB73" i="11"/>
  <c r="AW73" i="11"/>
  <c r="M73" i="11"/>
  <c r="AW72" i="11"/>
  <c r="M72" i="11"/>
  <c r="BO69" i="11"/>
  <c r="BP89" i="11" s="1"/>
  <c r="BQ89" i="11" s="1"/>
  <c r="BN69" i="11"/>
  <c r="BO89" i="11" s="1"/>
  <c r="BM69" i="11"/>
  <c r="BN89" i="11" s="1"/>
  <c r="BK69" i="11"/>
  <c r="BJ69" i="11"/>
  <c r="BI69" i="11"/>
  <c r="BH69" i="11"/>
  <c r="BF69" i="11"/>
  <c r="BE69" i="11"/>
  <c r="BC69" i="11"/>
  <c r="AK69" i="11"/>
  <c r="AJ69" i="11"/>
  <c r="AI69" i="11"/>
  <c r="AH69" i="11"/>
  <c r="AF69" i="11"/>
  <c r="AE69" i="11"/>
  <c r="AD69" i="11"/>
  <c r="AC69" i="11"/>
  <c r="X69" i="11"/>
  <c r="W69" i="11"/>
  <c r="V69" i="11"/>
  <c r="U69" i="11"/>
  <c r="T69" i="11"/>
  <c r="S69" i="11"/>
  <c r="R69" i="11"/>
  <c r="P69" i="11"/>
  <c r="O69" i="11"/>
  <c r="N69" i="11"/>
  <c r="M69" i="11"/>
  <c r="L69" i="11"/>
  <c r="K69" i="11"/>
  <c r="J69" i="11"/>
  <c r="I69" i="11"/>
  <c r="H69" i="11"/>
  <c r="G69" i="11"/>
  <c r="F69" i="11"/>
  <c r="E69" i="11"/>
  <c r="D69" i="11"/>
  <c r="BO68" i="11"/>
  <c r="BN68" i="11"/>
  <c r="BM68" i="11"/>
  <c r="BK68" i="11"/>
  <c r="BJ68" i="11"/>
  <c r="BI68" i="11"/>
  <c r="BH68" i="11"/>
  <c r="BF68" i="11"/>
  <c r="X68" i="11"/>
  <c r="W68" i="11"/>
  <c r="V68" i="11"/>
  <c r="U68" i="11"/>
  <c r="T68" i="11"/>
  <c r="S68" i="11"/>
  <c r="R68" i="11"/>
  <c r="P68" i="11"/>
  <c r="O68" i="11"/>
  <c r="N68" i="11"/>
  <c r="M68" i="11"/>
  <c r="L68" i="11"/>
  <c r="K68" i="11"/>
  <c r="J68" i="11"/>
  <c r="I68" i="11"/>
  <c r="H68" i="11"/>
  <c r="G68" i="11"/>
  <c r="F68" i="11"/>
  <c r="E68" i="11"/>
  <c r="D68" i="11"/>
  <c r="BL67" i="11"/>
  <c r="BG67" i="11"/>
  <c r="BB67" i="11"/>
  <c r="AS67" i="11"/>
  <c r="AW67" i="11" s="1"/>
  <c r="AM67" i="11"/>
  <c r="AQ67" i="11" s="1"/>
  <c r="AL67" i="11"/>
  <c r="AB67" i="11"/>
  <c r="R67" i="11"/>
  <c r="BL66" i="11"/>
  <c r="BG66" i="11"/>
  <c r="BB66" i="11"/>
  <c r="AW66" i="11"/>
  <c r="AQ66" i="11"/>
  <c r="AL66" i="11"/>
  <c r="AB66" i="11"/>
  <c r="Q66" i="11"/>
  <c r="BO65" i="11"/>
  <c r="BN65" i="11"/>
  <c r="BM65" i="11"/>
  <c r="BK65" i="11"/>
  <c r="BJ65" i="11"/>
  <c r="BI65" i="11"/>
  <c r="BH65" i="11"/>
  <c r="BF65" i="11"/>
  <c r="BE65" i="11"/>
  <c r="BC65" i="11"/>
  <c r="BA65" i="11"/>
  <c r="AZ65" i="11"/>
  <c r="AY65" i="11"/>
  <c r="AX65" i="11"/>
  <c r="AW65" i="11"/>
  <c r="AV65" i="11"/>
  <c r="AT65" i="11"/>
  <c r="AS65" i="11"/>
  <c r="AQ65" i="11"/>
  <c r="AP65" i="11"/>
  <c r="AN65" i="11"/>
  <c r="AM65" i="11"/>
  <c r="AK65" i="11"/>
  <c r="AJ65" i="11"/>
  <c r="AI65" i="11"/>
  <c r="AH65" i="11"/>
  <c r="AG65" i="11"/>
  <c r="AF65" i="11"/>
  <c r="AE65" i="11"/>
  <c r="AD65" i="11"/>
  <c r="AC65" i="11"/>
  <c r="AA65" i="11"/>
  <c r="Z65" i="11"/>
  <c r="Y65" i="11"/>
  <c r="X65" i="11"/>
  <c r="W65" i="11"/>
  <c r="V65" i="11"/>
  <c r="U65" i="11"/>
  <c r="T65" i="11"/>
  <c r="S65" i="11"/>
  <c r="R65" i="11"/>
  <c r="P65" i="11"/>
  <c r="O65" i="11"/>
  <c r="N65" i="11"/>
  <c r="BL64" i="11"/>
  <c r="BD64" i="11"/>
  <c r="BB64" i="11"/>
  <c r="AL64" i="11"/>
  <c r="AB64" i="11"/>
  <c r="Q64" i="11"/>
  <c r="BL63" i="11"/>
  <c r="BD63" i="11"/>
  <c r="BB63" i="11"/>
  <c r="BB70" i="11" s="1"/>
  <c r="AL63" i="11"/>
  <c r="AB63" i="11"/>
  <c r="AB100" i="11" s="1"/>
  <c r="Q63" i="11"/>
  <c r="Q99" i="11" s="1"/>
  <c r="BO61" i="11"/>
  <c r="BN61" i="11"/>
  <c r="BL61" i="11"/>
  <c r="BK61" i="11"/>
  <c r="BJ61" i="11"/>
  <c r="BI61" i="11"/>
  <c r="BH61" i="11"/>
  <c r="BG61" i="11"/>
  <c r="BF61" i="11"/>
  <c r="BE61" i="11"/>
  <c r="BD61" i="11"/>
  <c r="BC61" i="11"/>
  <c r="BB61" i="11"/>
  <c r="BA61" i="11"/>
  <c r="AZ61" i="11"/>
  <c r="AY61" i="11"/>
  <c r="AT61" i="11"/>
  <c r="AT103" i="11" s="1"/>
  <c r="AT146" i="11" s="1"/>
  <c r="AN61" i="11"/>
  <c r="AN103" i="11" s="1"/>
  <c r="AN146" i="11" s="1"/>
  <c r="AL61" i="11"/>
  <c r="AK61" i="11"/>
  <c r="BM51" i="11"/>
  <c r="BK51" i="11"/>
  <c r="BJ51" i="11"/>
  <c r="BI51" i="11"/>
  <c r="BH51" i="11"/>
  <c r="BF51" i="11"/>
  <c r="BE51" i="11"/>
  <c r="BD51" i="11"/>
  <c r="BC51" i="11"/>
  <c r="BA51" i="11"/>
  <c r="AZ51" i="11"/>
  <c r="AZ52" i="11" s="1"/>
  <c r="AY51" i="11"/>
  <c r="AX51" i="11"/>
  <c r="AV51" i="11"/>
  <c r="AU51" i="11"/>
  <c r="AT51" i="11"/>
  <c r="AS51" i="11"/>
  <c r="AP51" i="11"/>
  <c r="AO51" i="11"/>
  <c r="AN51" i="11"/>
  <c r="AM51" i="11"/>
  <c r="AK51" i="11"/>
  <c r="AJ51" i="11"/>
  <c r="AI51" i="11"/>
  <c r="AH51" i="11"/>
  <c r="AF51" i="11"/>
  <c r="BL48" i="11"/>
  <c r="BG48" i="11"/>
  <c r="AW48" i="11"/>
  <c r="AQ48" i="11"/>
  <c r="AL48" i="11"/>
  <c r="AG48" i="11"/>
  <c r="BL47" i="11"/>
  <c r="BG47" i="11"/>
  <c r="BB47" i="11"/>
  <c r="AW47" i="11"/>
  <c r="AQ47" i="11"/>
  <c r="AL47" i="11"/>
  <c r="AG47" i="11"/>
  <c r="BL43" i="11"/>
  <c r="BB43" i="11"/>
  <c r="AW43" i="11"/>
  <c r="AQ43" i="11"/>
  <c r="AL43" i="11"/>
  <c r="AG43" i="11"/>
  <c r="BO39" i="11"/>
  <c r="BN39" i="11"/>
  <c r="BM39" i="11"/>
  <c r="BK39" i="11"/>
  <c r="BJ39" i="11"/>
  <c r="BI39" i="11"/>
  <c r="BH39" i="11"/>
  <c r="BF39" i="11"/>
  <c r="BE39" i="11"/>
  <c r="BD39" i="11"/>
  <c r="BC39" i="11"/>
  <c r="BA39" i="11"/>
  <c r="AZ39" i="11"/>
  <c r="AY39" i="11"/>
  <c r="AX39" i="11"/>
  <c r="AV39" i="11"/>
  <c r="AU39" i="11"/>
  <c r="AT39" i="11"/>
  <c r="AS39" i="11"/>
  <c r="AP39" i="11"/>
  <c r="AO39" i="11"/>
  <c r="AN39" i="11"/>
  <c r="AM39" i="11"/>
  <c r="AK39" i="11"/>
  <c r="AJ39" i="11"/>
  <c r="AI39" i="11"/>
  <c r="AH39" i="11"/>
  <c r="AF39" i="11"/>
  <c r="AG39" i="11" s="1"/>
  <c r="BL38" i="11"/>
  <c r="BG38" i="11"/>
  <c r="BB38" i="11"/>
  <c r="AW38" i="11"/>
  <c r="AQ38" i="11"/>
  <c r="AL38" i="11"/>
  <c r="AG38" i="11"/>
  <c r="BL37" i="11"/>
  <c r="BG37" i="11"/>
  <c r="BB37" i="11"/>
  <c r="AW37" i="11"/>
  <c r="AQ37" i="11"/>
  <c r="AL37" i="11"/>
  <c r="AG37" i="11"/>
  <c r="BL36" i="11"/>
  <c r="BG36" i="11"/>
  <c r="BB36" i="11"/>
  <c r="AW36" i="11"/>
  <c r="AQ36" i="11"/>
  <c r="AL36" i="11"/>
  <c r="AG36" i="11"/>
  <c r="AC29" i="11"/>
  <c r="AB29" i="11"/>
  <c r="AB30" i="11" s="1"/>
  <c r="AA29" i="11"/>
  <c r="AA32" i="11" s="1"/>
  <c r="AA33" i="11" s="1"/>
  <c r="Z29" i="11"/>
  <c r="Z32" i="11" s="1"/>
  <c r="Z33" i="11" s="1"/>
  <c r="Y29" i="11"/>
  <c r="Y32" i="11" s="1"/>
  <c r="Y33" i="11" s="1"/>
  <c r="X29" i="11"/>
  <c r="X32" i="11" s="1"/>
  <c r="X33" i="11" s="1"/>
  <c r="W29" i="11"/>
  <c r="W32" i="11" s="1"/>
  <c r="W33" i="11" s="1"/>
  <c r="V29" i="11"/>
  <c r="V30" i="11" s="1"/>
  <c r="U29" i="11"/>
  <c r="U30" i="11" s="1"/>
  <c r="T29" i="11"/>
  <c r="T30" i="11" s="1"/>
  <c r="S29" i="11"/>
  <c r="S30" i="11" s="1"/>
  <c r="R29" i="11"/>
  <c r="R30" i="11" s="1"/>
  <c r="Q29" i="11"/>
  <c r="Q32" i="11" s="1"/>
  <c r="Q33" i="11" s="1"/>
  <c r="P29" i="11"/>
  <c r="P32" i="11" s="1"/>
  <c r="P33" i="11" s="1"/>
  <c r="O29" i="11"/>
  <c r="O32" i="11" s="1"/>
  <c r="O33" i="11" s="1"/>
  <c r="N29" i="11"/>
  <c r="N30" i="11" s="1"/>
  <c r="M30" i="11"/>
  <c r="L29" i="11"/>
  <c r="K29" i="11"/>
  <c r="K32" i="11" s="1"/>
  <c r="K33" i="11" s="1"/>
  <c r="J29" i="11"/>
  <c r="J32" i="11" s="1"/>
  <c r="J33" i="11" s="1"/>
  <c r="I29" i="11"/>
  <c r="H29" i="11"/>
  <c r="G29" i="11"/>
  <c r="G32" i="11" s="1"/>
  <c r="G33" i="11" s="1"/>
  <c r="F29" i="11"/>
  <c r="F30" i="11" s="1"/>
  <c r="E29" i="11"/>
  <c r="E30" i="11" s="1"/>
  <c r="D29" i="11"/>
  <c r="BO24" i="11"/>
  <c r="BN24" i="11"/>
  <c r="BM24" i="11"/>
  <c r="BK24" i="11"/>
  <c r="BK99" i="11" s="1"/>
  <c r="BJ24" i="11"/>
  <c r="BJ99" i="11" s="1"/>
  <c r="BI24" i="11"/>
  <c r="BI100" i="11" s="1"/>
  <c r="BH24" i="11"/>
  <c r="BH100" i="11" s="1"/>
  <c r="BF24" i="11"/>
  <c r="BE24" i="11"/>
  <c r="BE99" i="11" s="1"/>
  <c r="BD24" i="11"/>
  <c r="BC24" i="11"/>
  <c r="BC100" i="11" s="1"/>
  <c r="AZ24" i="11"/>
  <c r="AZ100" i="11" s="1"/>
  <c r="AY24" i="11"/>
  <c r="AX24" i="11"/>
  <c r="AX99" i="11" s="1"/>
  <c r="AV24" i="11"/>
  <c r="AV99" i="11" s="1"/>
  <c r="AU24" i="11"/>
  <c r="AU99" i="11" s="1"/>
  <c r="AT24" i="11"/>
  <c r="AT99" i="11" s="1"/>
  <c r="AS24" i="11"/>
  <c r="AP24" i="11"/>
  <c r="AO24" i="11"/>
  <c r="AN24" i="11"/>
  <c r="AM24" i="11"/>
  <c r="AM99" i="11" s="1"/>
  <c r="AK24" i="11"/>
  <c r="AK100" i="11" s="1"/>
  <c r="AJ24" i="11"/>
  <c r="AJ100" i="11" s="1"/>
  <c r="AI24" i="11"/>
  <c r="AI100" i="11" s="1"/>
  <c r="AH24" i="11"/>
  <c r="AF24" i="11"/>
  <c r="AE24" i="11"/>
  <c r="AE99" i="11" s="1"/>
  <c r="AD24" i="11"/>
  <c r="AD100" i="11" s="1"/>
  <c r="AC24" i="11"/>
  <c r="AC100" i="11" s="1"/>
  <c r="BL23" i="11"/>
  <c r="BG23" i="11"/>
  <c r="BB23" i="11"/>
  <c r="AW23" i="11"/>
  <c r="AQ23" i="11"/>
  <c r="AL23" i="11"/>
  <c r="AG23" i="11"/>
  <c r="BL22" i="11"/>
  <c r="BG22" i="11"/>
  <c r="BB22" i="11"/>
  <c r="AW22" i="11"/>
  <c r="AQ22" i="11"/>
  <c r="AL22" i="11"/>
  <c r="AG22" i="11"/>
  <c r="BL21" i="11"/>
  <c r="BG21" i="11"/>
  <c r="BB21" i="11"/>
  <c r="AW21" i="11"/>
  <c r="AQ21" i="11"/>
  <c r="AL21" i="11"/>
  <c r="AG21" i="11"/>
  <c r="BL20" i="11"/>
  <c r="BG20" i="11"/>
  <c r="BB20" i="11"/>
  <c r="AW20" i="11"/>
  <c r="AQ20" i="11"/>
  <c r="AL20" i="11"/>
  <c r="AG20" i="11"/>
  <c r="BL19" i="11"/>
  <c r="BG19" i="11"/>
  <c r="BB19" i="11"/>
  <c r="AW19" i="11"/>
  <c r="AQ19" i="11"/>
  <c r="AL19" i="11"/>
  <c r="AG19" i="11"/>
  <c r="BL18" i="11"/>
  <c r="BG18" i="11"/>
  <c r="BB18" i="11"/>
  <c r="AW18" i="11"/>
  <c r="AQ18" i="11"/>
  <c r="AL18" i="11"/>
  <c r="AG18" i="11"/>
  <c r="BL17" i="11"/>
  <c r="BG17" i="11"/>
  <c r="BB17" i="11"/>
  <c r="AW17" i="11"/>
  <c r="AQ17" i="11"/>
  <c r="AL17" i="11"/>
  <c r="AG17" i="11"/>
  <c r="BL16" i="11"/>
  <c r="BG16" i="11"/>
  <c r="BB16" i="11"/>
  <c r="AW16" i="11"/>
  <c r="AQ16" i="11"/>
  <c r="AL16" i="11"/>
  <c r="AG16" i="11"/>
  <c r="BL15" i="11"/>
  <c r="BG15" i="11"/>
  <c r="BB15" i="11"/>
  <c r="AW15" i="11"/>
  <c r="AQ15" i="11"/>
  <c r="AL15" i="11"/>
  <c r="AG15" i="11"/>
  <c r="BO12" i="11"/>
  <c r="BN12" i="11"/>
  <c r="BM12" i="11"/>
  <c r="BK12" i="11"/>
  <c r="BJ12" i="11"/>
  <c r="BI12" i="11"/>
  <c r="BH12" i="11"/>
  <c r="BF12" i="11"/>
  <c r="BE12" i="11"/>
  <c r="BD12" i="11"/>
  <c r="BC12" i="11"/>
  <c r="BA12" i="11"/>
  <c r="BA26" i="11" s="1"/>
  <c r="AY12" i="11"/>
  <c r="AX12" i="11"/>
  <c r="AV12" i="11"/>
  <c r="AU12" i="11"/>
  <c r="AT12" i="11"/>
  <c r="AS12" i="11"/>
  <c r="AP12" i="11"/>
  <c r="AO12" i="11"/>
  <c r="AN12" i="11"/>
  <c r="AM12" i="11"/>
  <c r="AK12" i="11"/>
  <c r="AJ12" i="11"/>
  <c r="AI12" i="11"/>
  <c r="AH12" i="11"/>
  <c r="AF12" i="11"/>
  <c r="AE12" i="11"/>
  <c r="AD12" i="11"/>
  <c r="AC12" i="11"/>
  <c r="BL11" i="11"/>
  <c r="BG11" i="11"/>
  <c r="BB11" i="11"/>
  <c r="AW11" i="11"/>
  <c r="AQ11" i="11"/>
  <c r="AL11" i="11"/>
  <c r="AG11" i="11"/>
  <c r="BL10" i="11"/>
  <c r="BG10" i="11"/>
  <c r="BB10" i="11"/>
  <c r="AW10" i="11"/>
  <c r="AQ10" i="11"/>
  <c r="AL10" i="11"/>
  <c r="AG10" i="11"/>
  <c r="BL9" i="11"/>
  <c r="G4" i="21" s="1"/>
  <c r="G7" i="21" s="1"/>
  <c r="BG9" i="11"/>
  <c r="F4" i="21" s="1"/>
  <c r="F7" i="21" s="1"/>
  <c r="BB9" i="11"/>
  <c r="E4" i="21" s="1"/>
  <c r="E7" i="21" s="1"/>
  <c r="AW9" i="11"/>
  <c r="D4" i="21" s="1"/>
  <c r="D7" i="21" s="1"/>
  <c r="AQ9" i="11"/>
  <c r="AL9" i="11"/>
  <c r="C4" i="21" s="1"/>
  <c r="C7" i="21" s="1"/>
  <c r="AG9" i="11"/>
  <c r="AG69" i="11" s="1"/>
  <c r="L60" i="9"/>
  <c r="K60" i="9"/>
  <c r="J60" i="9"/>
  <c r="E22" i="1" s="1"/>
  <c r="I60" i="9"/>
  <c r="I65" i="9" s="1"/>
  <c r="H60" i="9"/>
  <c r="H65" i="9" s="1"/>
  <c r="G60" i="9"/>
  <c r="G65" i="9" s="1"/>
  <c r="F60" i="9"/>
  <c r="F65" i="9" s="1"/>
  <c r="E60" i="9"/>
  <c r="E65" i="9" s="1"/>
  <c r="D60" i="9"/>
  <c r="D65" i="9" s="1"/>
  <c r="C60" i="9"/>
  <c r="C65" i="9" s="1"/>
  <c r="M53" i="9"/>
  <c r="L53" i="9"/>
  <c r="K53" i="9"/>
  <c r="J53" i="9"/>
  <c r="I53" i="9"/>
  <c r="H53" i="9"/>
  <c r="G53" i="9"/>
  <c r="F53" i="9"/>
  <c r="E53" i="9"/>
  <c r="D53" i="9"/>
  <c r="L42" i="9"/>
  <c r="L46" i="9" s="1"/>
  <c r="K42" i="9"/>
  <c r="K46" i="9" s="1"/>
  <c r="J42" i="9"/>
  <c r="I42" i="9"/>
  <c r="H42" i="9"/>
  <c r="H46" i="9" s="1"/>
  <c r="G42" i="9"/>
  <c r="G46" i="9" s="1"/>
  <c r="F42" i="9"/>
  <c r="F46" i="9" s="1"/>
  <c r="E42" i="9"/>
  <c r="E46" i="9" s="1"/>
  <c r="D42" i="9"/>
  <c r="D46" i="9" s="1"/>
  <c r="C42" i="9"/>
  <c r="C46" i="9" s="1"/>
  <c r="C61" i="9" s="1"/>
  <c r="K39" i="9"/>
  <c r="J39" i="9"/>
  <c r="I39" i="9"/>
  <c r="H39" i="9"/>
  <c r="G39" i="9"/>
  <c r="F39" i="9"/>
  <c r="E39" i="9"/>
  <c r="D39" i="9"/>
  <c r="M35" i="9"/>
  <c r="L35" i="9"/>
  <c r="K35" i="9"/>
  <c r="J35" i="9"/>
  <c r="I35" i="9"/>
  <c r="H35" i="9"/>
  <c r="G35" i="9"/>
  <c r="F35" i="9"/>
  <c r="E35" i="9"/>
  <c r="D35" i="9"/>
  <c r="L29" i="9"/>
  <c r="K29" i="9"/>
  <c r="J29" i="9"/>
  <c r="I29" i="9"/>
  <c r="H29" i="9"/>
  <c r="G29" i="9"/>
  <c r="F29" i="9"/>
  <c r="E29" i="9"/>
  <c r="D29" i="9"/>
  <c r="L22" i="9"/>
  <c r="L59" i="9" s="1"/>
  <c r="K22" i="9"/>
  <c r="J22" i="9"/>
  <c r="J59" i="9" s="1"/>
  <c r="I22" i="9"/>
  <c r="H22" i="9"/>
  <c r="H59" i="9" s="1"/>
  <c r="G22" i="9"/>
  <c r="F22" i="9"/>
  <c r="F59" i="9" s="1"/>
  <c r="E22" i="9"/>
  <c r="D22" i="9"/>
  <c r="D59" i="9" s="1"/>
  <c r="C22" i="9"/>
  <c r="L17" i="9"/>
  <c r="K17" i="9"/>
  <c r="J17" i="9"/>
  <c r="I17" i="9"/>
  <c r="H17" i="9"/>
  <c r="G17" i="9"/>
  <c r="F17" i="9"/>
  <c r="E17" i="9"/>
  <c r="D17" i="9"/>
  <c r="L11" i="9"/>
  <c r="K11" i="9"/>
  <c r="J11" i="9"/>
  <c r="I11" i="9"/>
  <c r="H11" i="9"/>
  <c r="G11" i="9"/>
  <c r="F11" i="9"/>
  <c r="E11" i="9"/>
  <c r="D11" i="9"/>
  <c r="L7" i="9"/>
  <c r="K7" i="9"/>
  <c r="J7" i="9"/>
  <c r="I7" i="9"/>
  <c r="H7" i="9"/>
  <c r="G7" i="9"/>
  <c r="F7" i="9"/>
  <c r="E7" i="9"/>
  <c r="D7" i="9"/>
  <c r="L6" i="9"/>
  <c r="K6" i="9"/>
  <c r="J6" i="9"/>
  <c r="I6" i="9"/>
  <c r="H6" i="9"/>
  <c r="G6" i="9"/>
  <c r="F6" i="9"/>
  <c r="E6" i="9"/>
  <c r="D6" i="9"/>
  <c r="H4" i="9"/>
  <c r="I4" i="9" s="1"/>
  <c r="J4" i="9" s="1"/>
  <c r="K4" i="9" s="1"/>
  <c r="L4" i="9" s="1"/>
  <c r="M4" i="9" s="1"/>
  <c r="N4" i="9" s="1"/>
  <c r="O4" i="9" s="1"/>
  <c r="P4" i="9" s="1"/>
  <c r="Q4" i="9" s="1"/>
  <c r="R4" i="9" s="1"/>
  <c r="B20" i="8"/>
  <c r="C10" i="8" s="1"/>
  <c r="D12" i="1"/>
  <c r="D14" i="1"/>
  <c r="B54" i="8"/>
  <c r="A60" i="8"/>
  <c r="A61" i="8"/>
  <c r="A57" i="8"/>
  <c r="A58" i="8"/>
  <c r="A59" i="8"/>
  <c r="B15" i="66" l="1"/>
  <c r="B18" i="66" s="1"/>
  <c r="AV104" i="11"/>
  <c r="AW104" i="11" s="1"/>
  <c r="F12" i="9"/>
  <c r="I36" i="9"/>
  <c r="G21" i="18"/>
  <c r="L67" i="9"/>
  <c r="F64" i="18"/>
  <c r="L59" i="12"/>
  <c r="E21" i="18"/>
  <c r="J67" i="9"/>
  <c r="BB90" i="11"/>
  <c r="BM99" i="11"/>
  <c r="BP24" i="11"/>
  <c r="BQ24" i="11" s="1"/>
  <c r="F79" i="1"/>
  <c r="F84" i="1" s="1"/>
  <c r="F126" i="1" s="1"/>
  <c r="F130" i="1" s="1"/>
  <c r="G64" i="18"/>
  <c r="M59" i="12"/>
  <c r="J18" i="9"/>
  <c r="E64" i="18"/>
  <c r="K59" i="12"/>
  <c r="BB94" i="11"/>
  <c r="J12" i="9"/>
  <c r="AW80" i="11"/>
  <c r="BG86" i="11"/>
  <c r="L31" i="12"/>
  <c r="BG97" i="11"/>
  <c r="R14" i="14"/>
  <c r="L41" i="12"/>
  <c r="M46" i="12"/>
  <c r="BK26" i="11"/>
  <c r="BK27" i="11" s="1"/>
  <c r="BB86" i="11"/>
  <c r="L36" i="12"/>
  <c r="M41" i="12"/>
  <c r="BJ52" i="11"/>
  <c r="AW86" i="11"/>
  <c r="G65" i="1"/>
  <c r="F64" i="1"/>
  <c r="D12" i="9"/>
  <c r="AP52" i="11"/>
  <c r="L12" i="9"/>
  <c r="H12" i="9"/>
  <c r="AD99" i="11"/>
  <c r="BO120" i="11"/>
  <c r="Z197" i="11"/>
  <c r="Z199" i="11" s="1"/>
  <c r="G41" i="12"/>
  <c r="J36" i="9"/>
  <c r="AL65" i="11"/>
  <c r="AW74" i="11"/>
  <c r="G36" i="12"/>
  <c r="F66" i="1"/>
  <c r="G30" i="9"/>
  <c r="F36" i="9"/>
  <c r="AB65" i="11"/>
  <c r="AB99" i="11"/>
  <c r="K36" i="12"/>
  <c r="D23" i="9"/>
  <c r="D24" i="9" s="1"/>
  <c r="L23" i="9"/>
  <c r="L24" i="9" s="1"/>
  <c r="J30" i="9"/>
  <c r="G43" i="9"/>
  <c r="G44" i="9" s="1"/>
  <c r="AA30" i="11"/>
  <c r="BD65" i="11"/>
  <c r="AQ94" i="11"/>
  <c r="G21" i="1"/>
  <c r="M32" i="11"/>
  <c r="M33" i="11" s="1"/>
  <c r="BG39" i="11"/>
  <c r="AH52" i="11"/>
  <c r="I46" i="12"/>
  <c r="AU100" i="11"/>
  <c r="AI52" i="11"/>
  <c r="BB80" i="11"/>
  <c r="J46" i="12"/>
  <c r="S32" i="11"/>
  <c r="S33" i="11" s="1"/>
  <c r="K36" i="9"/>
  <c r="AM26" i="11"/>
  <c r="AM29" i="11" s="1"/>
  <c r="AX26" i="11"/>
  <c r="AX41" i="11" s="1"/>
  <c r="BI52" i="11"/>
  <c r="AQ24" i="11"/>
  <c r="AQ100" i="11" s="1"/>
  <c r="N197" i="11"/>
  <c r="N199" i="11" s="1"/>
  <c r="V197" i="11"/>
  <c r="V199" i="11" s="1"/>
  <c r="AD197" i="11"/>
  <c r="AD199" i="11" s="1"/>
  <c r="AN197" i="11"/>
  <c r="AN199" i="11" s="1"/>
  <c r="G46" i="12"/>
  <c r="J41" i="12"/>
  <c r="K46" i="12"/>
  <c r="F65" i="1"/>
  <c r="R16" i="14"/>
  <c r="F18" i="14"/>
  <c r="F19" i="14" s="1"/>
  <c r="BB39" i="11"/>
  <c r="R12" i="14"/>
  <c r="D30" i="9"/>
  <c r="AN26" i="11"/>
  <c r="AN41" i="11" s="1"/>
  <c r="AN45" i="11" s="1"/>
  <c r="AO197" i="11"/>
  <c r="AO199" i="11" s="1"/>
  <c r="H36" i="12"/>
  <c r="K41" i="12"/>
  <c r="L46" i="12"/>
  <c r="G64" i="1"/>
  <c r="BM120" i="11"/>
  <c r="G36" i="9"/>
  <c r="L18" i="9"/>
  <c r="K12" i="9"/>
  <c r="H23" i="9"/>
  <c r="H24" i="9" s="1"/>
  <c r="F30" i="9"/>
  <c r="C59" i="9"/>
  <c r="C62" i="9" s="1"/>
  <c r="BB12" i="11"/>
  <c r="AK26" i="11"/>
  <c r="AK29" i="11" s="1"/>
  <c r="AV26" i="11"/>
  <c r="AV27" i="11" s="1"/>
  <c r="BH26" i="11"/>
  <c r="BH29" i="11" s="1"/>
  <c r="BH30" i="11" s="1"/>
  <c r="G30" i="11"/>
  <c r="AX52" i="11"/>
  <c r="BH52" i="11"/>
  <c r="BL65" i="11"/>
  <c r="BL94" i="11"/>
  <c r="E21" i="1"/>
  <c r="G66" i="1"/>
  <c r="AY52" i="11"/>
  <c r="F22" i="21"/>
  <c r="F31" i="21"/>
  <c r="L65" i="9"/>
  <c r="G22" i="18"/>
  <c r="AO52" i="11"/>
  <c r="BB24" i="11"/>
  <c r="BB99" i="11" s="1"/>
  <c r="BL39" i="11"/>
  <c r="AV100" i="11"/>
  <c r="P197" i="11"/>
  <c r="P199" i="11" s="1"/>
  <c r="X197" i="11"/>
  <c r="X199" i="11" s="1"/>
  <c r="AF197" i="11"/>
  <c r="AF199" i="11" s="1"/>
  <c r="AU26" i="11"/>
  <c r="AU29" i="11" s="1"/>
  <c r="AU30" i="11" s="1"/>
  <c r="Y197" i="11"/>
  <c r="Y199" i="11" s="1"/>
  <c r="AS197" i="11"/>
  <c r="AS199" i="11" s="1"/>
  <c r="AQ179" i="11"/>
  <c r="E63" i="1"/>
  <c r="K65" i="9"/>
  <c r="F22" i="18"/>
  <c r="AF26" i="11"/>
  <c r="AF27" i="11" s="1"/>
  <c r="I31" i="12"/>
  <c r="M36" i="12"/>
  <c r="E66" i="1"/>
  <c r="I23" i="9"/>
  <c r="I24" i="9" s="1"/>
  <c r="G22" i="21"/>
  <c r="G31" i="21"/>
  <c r="G12" i="9"/>
  <c r="K43" i="9"/>
  <c r="K44" i="9" s="1"/>
  <c r="AH26" i="11"/>
  <c r="AH27" i="11" s="1"/>
  <c r="L30" i="9"/>
  <c r="H40" i="9"/>
  <c r="AW12" i="11"/>
  <c r="AI26" i="11"/>
  <c r="AI29" i="11" s="1"/>
  <c r="AI32" i="11" s="1"/>
  <c r="AI33" i="11" s="1"/>
  <c r="BE26" i="11"/>
  <c r="BE41" i="11" s="1"/>
  <c r="BE45" i="11" s="1"/>
  <c r="BO26" i="11"/>
  <c r="BO27" i="11" s="1"/>
  <c r="BL69" i="11"/>
  <c r="BL70" i="11" s="1"/>
  <c r="BL74" i="11"/>
  <c r="BG80" i="11"/>
  <c r="BA104" i="11"/>
  <c r="BB104" i="11" s="1"/>
  <c r="G22" i="1"/>
  <c r="J36" i="12"/>
  <c r="M31" i="12"/>
  <c r="E65" i="1"/>
  <c r="G63" i="1"/>
  <c r="J65" i="9"/>
  <c r="E22" i="18"/>
  <c r="C31" i="21"/>
  <c r="C32" i="21" s="1"/>
  <c r="C22" i="21"/>
  <c r="BD26" i="11"/>
  <c r="BD29" i="11" s="1"/>
  <c r="BD30" i="11" s="1"/>
  <c r="H18" i="9"/>
  <c r="E30" i="9"/>
  <c r="I40" i="9"/>
  <c r="D22" i="21"/>
  <c r="D31" i="21"/>
  <c r="BF26" i="11"/>
  <c r="BF41" i="11" s="1"/>
  <c r="BF45" i="11" s="1"/>
  <c r="BG64" i="11"/>
  <c r="BG68" i="11" s="1"/>
  <c r="Q69" i="11"/>
  <c r="BR89" i="11"/>
  <c r="BR90" i="11"/>
  <c r="BJ120" i="11"/>
  <c r="F22" i="1"/>
  <c r="K31" i="12"/>
  <c r="E64" i="1"/>
  <c r="F63" i="1"/>
  <c r="G51" i="1"/>
  <c r="F51" i="1"/>
  <c r="G79" i="1"/>
  <c r="E79" i="1"/>
  <c r="E84" i="1" s="1"/>
  <c r="G39" i="1"/>
  <c r="Q18" i="14"/>
  <c r="H10" i="14"/>
  <c r="G18" i="14"/>
  <c r="G19" i="14" s="1"/>
  <c r="O25" i="12" s="1"/>
  <c r="R10" i="14"/>
  <c r="G31" i="12"/>
  <c r="F51" i="12"/>
  <c r="G51" i="12" s="1"/>
  <c r="J31" i="12"/>
  <c r="I36" i="12"/>
  <c r="H41" i="12"/>
  <c r="I41" i="12"/>
  <c r="H46" i="12"/>
  <c r="H31" i="12"/>
  <c r="F39" i="1"/>
  <c r="BA29" i="11"/>
  <c r="BA30" i="11" s="1"/>
  <c r="BA27" i="11"/>
  <c r="BA41" i="11"/>
  <c r="BA45" i="11" s="1"/>
  <c r="BA48" i="11" s="1"/>
  <c r="BB48" i="11" s="1"/>
  <c r="BG24" i="11"/>
  <c r="I12" i="9"/>
  <c r="K18" i="9"/>
  <c r="K30" i="9"/>
  <c r="F40" i="9"/>
  <c r="D43" i="9"/>
  <c r="D44" i="9" s="1"/>
  <c r="AO26" i="11"/>
  <c r="AO29" i="11" s="1"/>
  <c r="AO32" i="11" s="1"/>
  <c r="AO33" i="11" s="1"/>
  <c r="Y30" i="11"/>
  <c r="N32" i="11"/>
  <c r="N33" i="11" s="1"/>
  <c r="BL51" i="11"/>
  <c r="BB65" i="11"/>
  <c r="M80" i="11"/>
  <c r="BL86" i="11"/>
  <c r="BC99" i="11"/>
  <c r="AE100" i="11"/>
  <c r="AL201" i="11"/>
  <c r="D18" i="9"/>
  <c r="F23" i="9"/>
  <c r="F24" i="9" s="1"/>
  <c r="D36" i="9"/>
  <c r="L36" i="9"/>
  <c r="G40" i="9"/>
  <c r="E43" i="9"/>
  <c r="E44" i="9" s="1"/>
  <c r="AW24" i="11"/>
  <c r="AW100" i="11" s="1"/>
  <c r="AP26" i="11"/>
  <c r="Z30" i="11"/>
  <c r="R32" i="11"/>
  <c r="R33" i="11" s="1"/>
  <c r="BD52" i="11"/>
  <c r="M86" i="11"/>
  <c r="AM100" i="11"/>
  <c r="BN120" i="11"/>
  <c r="O197" i="11"/>
  <c r="O199" i="11" s="1"/>
  <c r="W197" i="11"/>
  <c r="W199" i="11" s="1"/>
  <c r="AE197" i="11"/>
  <c r="AE199" i="11" s="1"/>
  <c r="AL195" i="11"/>
  <c r="AQ195" i="11"/>
  <c r="J30" i="11"/>
  <c r="AL113" i="11"/>
  <c r="AG195" i="11"/>
  <c r="BC26" i="11"/>
  <c r="BC41" i="11" s="1"/>
  <c r="BC45" i="11" s="1"/>
  <c r="AW39" i="11"/>
  <c r="E12" i="9"/>
  <c r="G18" i="9"/>
  <c r="J40" i="9"/>
  <c r="I43" i="9"/>
  <c r="I44" i="9" s="1"/>
  <c r="L43" i="9"/>
  <c r="L44" i="9" s="1"/>
  <c r="K59" i="9"/>
  <c r="K67" i="9" s="1"/>
  <c r="AQ12" i="11"/>
  <c r="AT26" i="11"/>
  <c r="AT29" i="11" s="1"/>
  <c r="AT30" i="11" s="1"/>
  <c r="BN26" i="11"/>
  <c r="BN27" i="11" s="1"/>
  <c r="AY26" i="11"/>
  <c r="AY41" i="11" s="1"/>
  <c r="AY45" i="11" s="1"/>
  <c r="K30" i="11"/>
  <c r="F32" i="11"/>
  <c r="F33" i="11" s="1"/>
  <c r="AL94" i="11"/>
  <c r="AX100" i="11"/>
  <c r="BH120" i="11"/>
  <c r="AQ159" i="11"/>
  <c r="AG179" i="11"/>
  <c r="Q197" i="11"/>
  <c r="Q199" i="11" s="1"/>
  <c r="AH197" i="11"/>
  <c r="AH199" i="11" s="1"/>
  <c r="AH203" i="11" s="1"/>
  <c r="E18" i="9"/>
  <c r="BD99" i="11"/>
  <c r="H36" i="9"/>
  <c r="K40" i="9"/>
  <c r="J43" i="9"/>
  <c r="J44" i="9" s="1"/>
  <c r="M43" i="9"/>
  <c r="AJ26" i="11"/>
  <c r="AJ41" i="11" s="1"/>
  <c r="AJ45" i="11" s="1"/>
  <c r="AG24" i="11"/>
  <c r="AG100" i="11" s="1"/>
  <c r="O30" i="11"/>
  <c r="AB32" i="11"/>
  <c r="AB33" i="11" s="1"/>
  <c r="AL39" i="11"/>
  <c r="Q65" i="11"/>
  <c r="AW94" i="11"/>
  <c r="Q100" i="11"/>
  <c r="R197" i="11"/>
  <c r="R199" i="11" s="1"/>
  <c r="I18" i="9"/>
  <c r="I30" i="9"/>
  <c r="H30" i="9"/>
  <c r="D40" i="9"/>
  <c r="BB74" i="11"/>
  <c r="BE100" i="11"/>
  <c r="AQ140" i="11"/>
  <c r="AL159" i="11"/>
  <c r="T197" i="11"/>
  <c r="T199" i="11" s="1"/>
  <c r="AB197" i="11"/>
  <c r="AB199" i="11" s="1"/>
  <c r="AK197" i="11"/>
  <c r="AK199" i="11" s="1"/>
  <c r="AK203" i="11" s="1"/>
  <c r="AW197" i="11"/>
  <c r="AW199" i="11" s="1"/>
  <c r="AW203" i="11" s="1"/>
  <c r="BM26" i="11"/>
  <c r="BM41" i="11" s="1"/>
  <c r="BM45" i="11" s="1"/>
  <c r="E40" i="9"/>
  <c r="BA52" i="11"/>
  <c r="BG74" i="11"/>
  <c r="BM100" i="11"/>
  <c r="BK104" i="11"/>
  <c r="BL104" i="11" s="1"/>
  <c r="M197" i="11"/>
  <c r="M199" i="11" s="1"/>
  <c r="U197" i="11"/>
  <c r="U199" i="11" s="1"/>
  <c r="AC197" i="11"/>
  <c r="AC199" i="11" s="1"/>
  <c r="AM197" i="11"/>
  <c r="AM199" i="11" s="1"/>
  <c r="AZ26" i="11"/>
  <c r="AS26" i="11"/>
  <c r="AS52" i="11"/>
  <c r="BJ26" i="11"/>
  <c r="H32" i="11"/>
  <c r="H33" i="11" s="1"/>
  <c r="H30" i="11"/>
  <c r="BK29" i="11"/>
  <c r="BK30" i="11" s="1"/>
  <c r="P30" i="11"/>
  <c r="AF52" i="11"/>
  <c r="AG51" i="11"/>
  <c r="AT100" i="11"/>
  <c r="BJ100" i="11"/>
  <c r="AT52" i="11"/>
  <c r="AI99" i="11"/>
  <c r="BK100" i="11"/>
  <c r="BG113" i="11"/>
  <c r="BF104" i="11"/>
  <c r="BG96" i="11"/>
  <c r="AJ99" i="11"/>
  <c r="BI99" i="11"/>
  <c r="BM52" i="11"/>
  <c r="BG63" i="11"/>
  <c r="BG69" i="11" s="1"/>
  <c r="BG70" i="11" s="1"/>
  <c r="AK99" i="11"/>
  <c r="AJ201" i="11"/>
  <c r="AJ203" i="11" s="1"/>
  <c r="BI26" i="11"/>
  <c r="I32" i="11"/>
  <c r="I33" i="11" s="1"/>
  <c r="I30" i="11"/>
  <c r="BL96" i="11"/>
  <c r="BL97" i="11"/>
  <c r="D30" i="11"/>
  <c r="D32" i="11"/>
  <c r="D33" i="11" s="1"/>
  <c r="L30" i="11"/>
  <c r="L32" i="11"/>
  <c r="L33" i="11" s="1"/>
  <c r="AK52" i="11"/>
  <c r="AU52" i="11"/>
  <c r="AW51" i="11"/>
  <c r="BL68" i="11"/>
  <c r="Q30" i="11"/>
  <c r="AS100" i="11"/>
  <c r="AS99" i="11"/>
  <c r="BG51" i="11"/>
  <c r="BC52" i="11"/>
  <c r="BL12" i="11"/>
  <c r="AL24" i="11"/>
  <c r="AL51" i="11"/>
  <c r="AV52" i="11"/>
  <c r="BI120" i="11"/>
  <c r="X30" i="11"/>
  <c r="BG12" i="11"/>
  <c r="AC30" i="11"/>
  <c r="AC32" i="11"/>
  <c r="AN99" i="11"/>
  <c r="AN100" i="11"/>
  <c r="BF99" i="11"/>
  <c r="BF100" i="11"/>
  <c r="T32" i="11"/>
  <c r="T33" i="11" s="1"/>
  <c r="AJ52" i="11"/>
  <c r="BD69" i="11"/>
  <c r="AC99" i="11"/>
  <c r="BD100" i="11"/>
  <c r="BL24" i="11"/>
  <c r="BN99" i="11"/>
  <c r="BN100" i="11"/>
  <c r="BO99" i="11"/>
  <c r="BO100" i="11"/>
  <c r="E32" i="11"/>
  <c r="E33" i="11" s="1"/>
  <c r="BF52" i="11"/>
  <c r="AL69" i="11"/>
  <c r="AL12" i="11"/>
  <c r="AG12" i="11"/>
  <c r="AF99" i="11"/>
  <c r="AF100" i="11"/>
  <c r="AO99" i="11"/>
  <c r="AO100" i="11"/>
  <c r="U32" i="11"/>
  <c r="U33" i="11" s="1"/>
  <c r="AN52" i="11"/>
  <c r="M74" i="11"/>
  <c r="AZ99" i="11"/>
  <c r="AQ133" i="11"/>
  <c r="BK134" i="11"/>
  <c r="AG159" i="11"/>
  <c r="AH99" i="11"/>
  <c r="AH100" i="11"/>
  <c r="AP99" i="11"/>
  <c r="AP100" i="11"/>
  <c r="AY99" i="11"/>
  <c r="AY100" i="11"/>
  <c r="AQ51" i="11"/>
  <c r="AM52" i="11"/>
  <c r="BE52" i="11"/>
  <c r="BH99" i="11"/>
  <c r="AK120" i="11"/>
  <c r="AL120" i="11" s="1"/>
  <c r="V32" i="11"/>
  <c r="V33" i="11" s="1"/>
  <c r="AQ39" i="11"/>
  <c r="AL179" i="11"/>
  <c r="S197" i="11"/>
  <c r="S199" i="11" s="1"/>
  <c r="AI197" i="11"/>
  <c r="AI199" i="11" s="1"/>
  <c r="AI203" i="11" s="1"/>
  <c r="AW133" i="11"/>
  <c r="AW140" i="11"/>
  <c r="BK142" i="11"/>
  <c r="BL142" i="11" s="1"/>
  <c r="AA197" i="11"/>
  <c r="AA199" i="11" s="1"/>
  <c r="W30" i="11"/>
  <c r="BB51" i="11"/>
  <c r="BK52" i="11"/>
  <c r="BL80" i="11"/>
  <c r="BG94" i="11"/>
  <c r="AX197" i="11"/>
  <c r="AX199" i="11" s="1"/>
  <c r="Q68" i="11"/>
  <c r="K61" i="9"/>
  <c r="D61" i="9"/>
  <c r="D62" i="9" s="1"/>
  <c r="D47" i="9"/>
  <c r="D48" i="9" s="1"/>
  <c r="L61" i="9"/>
  <c r="L47" i="9"/>
  <c r="L48" i="9" s="1"/>
  <c r="G47" i="9"/>
  <c r="G48" i="9" s="1"/>
  <c r="G61" i="9"/>
  <c r="E47" i="9"/>
  <c r="E48" i="9" s="1"/>
  <c r="E61" i="9"/>
  <c r="F47" i="9"/>
  <c r="F48" i="9" s="1"/>
  <c r="F61" i="9"/>
  <c r="F62" i="9" s="1"/>
  <c r="H47" i="9"/>
  <c r="H48" i="9" s="1"/>
  <c r="H61" i="9"/>
  <c r="H62" i="9" s="1"/>
  <c r="F18" i="9"/>
  <c r="E59" i="9"/>
  <c r="E23" i="9"/>
  <c r="E24" i="9" s="1"/>
  <c r="F43" i="9"/>
  <c r="F44" i="9" s="1"/>
  <c r="J23" i="9"/>
  <c r="J24" i="9" s="1"/>
  <c r="K23" i="9"/>
  <c r="K24" i="9" s="1"/>
  <c r="E36" i="9"/>
  <c r="G59" i="9"/>
  <c r="I46" i="9"/>
  <c r="G23" i="9"/>
  <c r="G24" i="9" s="1"/>
  <c r="H43" i="9"/>
  <c r="H44" i="9" s="1"/>
  <c r="C54" i="9"/>
  <c r="J46" i="9"/>
  <c r="K47" i="9" s="1"/>
  <c r="K48" i="9" s="1"/>
  <c r="I59" i="9"/>
  <c r="E126" i="1" l="1"/>
  <c r="E130" i="1" s="1"/>
  <c r="BB52" i="11"/>
  <c r="J19" i="9"/>
  <c r="E19" i="9"/>
  <c r="N25" i="12"/>
  <c r="N26" i="12" s="1"/>
  <c r="G84" i="1"/>
  <c r="G126" i="1" s="1"/>
  <c r="G130" i="1" s="1"/>
  <c r="M79" i="1"/>
  <c r="M82" i="1"/>
  <c r="F32" i="21"/>
  <c r="G7" i="45"/>
  <c r="D32" i="21"/>
  <c r="E7" i="45"/>
  <c r="G32" i="21"/>
  <c r="H7" i="45"/>
  <c r="AG99" i="11"/>
  <c r="AM41" i="11"/>
  <c r="AM45" i="11" s="1"/>
  <c r="AQ26" i="11"/>
  <c r="AQ27" i="11" s="1"/>
  <c r="J13" i="9"/>
  <c r="AM27" i="11"/>
  <c r="K62" i="9"/>
  <c r="AN27" i="11"/>
  <c r="AK41" i="11"/>
  <c r="AK45" i="11" s="1"/>
  <c r="AN29" i="11"/>
  <c r="AN30" i="11" s="1"/>
  <c r="BB26" i="11"/>
  <c r="BB29" i="11" s="1"/>
  <c r="BB30" i="11" s="1"/>
  <c r="BB100" i="11"/>
  <c r="BG26" i="11"/>
  <c r="BG27" i="11" s="1"/>
  <c r="AX29" i="11"/>
  <c r="AX30" i="11" s="1"/>
  <c r="AX27" i="11"/>
  <c r="AW99" i="11"/>
  <c r="AH29" i="11"/>
  <c r="AH30" i="11" s="1"/>
  <c r="H19" i="9"/>
  <c r="BK41" i="11"/>
  <c r="BK45" i="11" s="1"/>
  <c r="BG65" i="11"/>
  <c r="F19" i="9"/>
  <c r="G13" i="9"/>
  <c r="BO41" i="11"/>
  <c r="BO45" i="11" s="1"/>
  <c r="BO47" i="11" s="1"/>
  <c r="BO51" i="11" s="1"/>
  <c r="BO52" i="11" s="1"/>
  <c r="BO29" i="11"/>
  <c r="K19" i="9"/>
  <c r="AQ99" i="11"/>
  <c r="BE27" i="11"/>
  <c r="L19" i="9"/>
  <c r="AJ27" i="11"/>
  <c r="BF29" i="11"/>
  <c r="BF30" i="11" s="1"/>
  <c r="BE29" i="11"/>
  <c r="BE30" i="11" s="1"/>
  <c r="AI27" i="11"/>
  <c r="AQ197" i="11"/>
  <c r="AQ199" i="11" s="1"/>
  <c r="M51" i="12"/>
  <c r="AI30" i="11"/>
  <c r="H13" i="9"/>
  <c r="J51" i="12"/>
  <c r="BD27" i="11"/>
  <c r="BD41" i="11"/>
  <c r="BD45" i="11" s="1"/>
  <c r="BG45" i="11" s="1"/>
  <c r="D19" i="9"/>
  <c r="I51" i="12"/>
  <c r="BM27" i="11"/>
  <c r="AW52" i="11"/>
  <c r="BH27" i="11"/>
  <c r="BM29" i="11"/>
  <c r="BM30" i="11" s="1"/>
  <c r="D13" i="9"/>
  <c r="R18" i="14"/>
  <c r="AI41" i="11"/>
  <c r="AI45" i="11" s="1"/>
  <c r="BH41" i="11"/>
  <c r="D23" i="21"/>
  <c r="D25" i="21"/>
  <c r="AL197" i="11"/>
  <c r="AL199" i="11" s="1"/>
  <c r="AL203" i="11" s="1"/>
  <c r="AP201" i="11" s="1"/>
  <c r="AP203" i="11" s="1"/>
  <c r="BN41" i="11"/>
  <c r="BN45" i="11" s="1"/>
  <c r="BN47" i="11" s="1"/>
  <c r="BN51" i="11" s="1"/>
  <c r="BN52" i="11" s="1"/>
  <c r="E13" i="9"/>
  <c r="AY27" i="11"/>
  <c r="BA120" i="11"/>
  <c r="BB120" i="11" s="1"/>
  <c r="L13" i="9"/>
  <c r="C25" i="21"/>
  <c r="C23" i="21"/>
  <c r="L62" i="9"/>
  <c r="G23" i="18"/>
  <c r="G23" i="1"/>
  <c r="BF27" i="11"/>
  <c r="E25" i="18"/>
  <c r="E25" i="1"/>
  <c r="AV29" i="11"/>
  <c r="AV30" i="11" s="1"/>
  <c r="I50" i="18"/>
  <c r="I50" i="1"/>
  <c r="F23" i="18"/>
  <c r="F23" i="1"/>
  <c r="AG26" i="11"/>
  <c r="AG27" i="11" s="1"/>
  <c r="AH41" i="11"/>
  <c r="AH45" i="11" s="1"/>
  <c r="AF29" i="11"/>
  <c r="AG29" i="11" s="1"/>
  <c r="AG30" i="11" s="1"/>
  <c r="AG52" i="11"/>
  <c r="AV41" i="11"/>
  <c r="AV45" i="11" s="1"/>
  <c r="AU41" i="11"/>
  <c r="AU45" i="11" s="1"/>
  <c r="AU27" i="11"/>
  <c r="I13" i="9"/>
  <c r="E22" i="21"/>
  <c r="E31" i="21"/>
  <c r="AK27" i="11"/>
  <c r="F21" i="18"/>
  <c r="F21" i="1"/>
  <c r="K13" i="9"/>
  <c r="G25" i="18"/>
  <c r="G25" i="1"/>
  <c r="G19" i="9"/>
  <c r="BC29" i="11"/>
  <c r="BC30" i="11" s="1"/>
  <c r="AF41" i="11"/>
  <c r="AF45" i="11" s="1"/>
  <c r="AG45" i="11" s="1"/>
  <c r="AT27" i="11"/>
  <c r="BG99" i="11"/>
  <c r="G23" i="21"/>
  <c r="G25" i="21"/>
  <c r="F25" i="18"/>
  <c r="F25" i="1"/>
  <c r="F25" i="21"/>
  <c r="F23" i="21"/>
  <c r="K82" i="1"/>
  <c r="H82" i="1"/>
  <c r="I82" i="1"/>
  <c r="J82" i="1"/>
  <c r="L82" i="1"/>
  <c r="H16" i="14"/>
  <c r="H18" i="14" s="1"/>
  <c r="H19" i="14" s="1"/>
  <c r="P25" i="12" s="1"/>
  <c r="I10" i="14"/>
  <c r="K51" i="12"/>
  <c r="L51" i="12"/>
  <c r="H51" i="12"/>
  <c r="AP27" i="11"/>
  <c r="AP41" i="11"/>
  <c r="AP45" i="11" s="1"/>
  <c r="AP29" i="11"/>
  <c r="AL26" i="11"/>
  <c r="AL27" i="11" s="1"/>
  <c r="I19" i="9"/>
  <c r="AJ29" i="11"/>
  <c r="AJ30" i="11" s="1"/>
  <c r="AG197" i="11"/>
  <c r="AG199" i="11" s="1"/>
  <c r="AY29" i="11"/>
  <c r="AY30" i="11" s="1"/>
  <c r="BN29" i="11"/>
  <c r="BN30" i="11" s="1"/>
  <c r="AO27" i="11"/>
  <c r="AT41" i="11"/>
  <c r="AT45" i="11" s="1"/>
  <c r="AO41" i="11"/>
  <c r="AO45" i="11" s="1"/>
  <c r="AW26" i="11"/>
  <c r="AW29" i="11" s="1"/>
  <c r="AW30" i="11" s="1"/>
  <c r="AQ52" i="11"/>
  <c r="BC27" i="11"/>
  <c r="AO30" i="11"/>
  <c r="AK30" i="11"/>
  <c r="AK32" i="11"/>
  <c r="AK33" i="11" s="1"/>
  <c r="BL100" i="11"/>
  <c r="BL99" i="11"/>
  <c r="BL26" i="11"/>
  <c r="BL52" i="11"/>
  <c r="AX45" i="11"/>
  <c r="BF120" i="11"/>
  <c r="BG120" i="11" s="1"/>
  <c r="BG104" i="11"/>
  <c r="BJ29" i="11"/>
  <c r="BJ30" i="11" s="1"/>
  <c r="BJ41" i="11"/>
  <c r="BJ45" i="11" s="1"/>
  <c r="BJ27" i="11"/>
  <c r="AC33" i="11"/>
  <c r="AL52" i="11"/>
  <c r="BG52" i="11"/>
  <c r="AM30" i="11"/>
  <c r="AM32" i="11"/>
  <c r="AM33" i="11" s="1"/>
  <c r="AL99" i="11"/>
  <c r="AL100" i="11"/>
  <c r="AS29" i="11"/>
  <c r="AS30" i="11" s="1"/>
  <c r="AS41" i="11"/>
  <c r="AS27" i="11"/>
  <c r="BK120" i="11"/>
  <c r="BL120" i="11" s="1"/>
  <c r="BL134" i="11"/>
  <c r="BI29" i="11"/>
  <c r="BI30" i="11" s="1"/>
  <c r="BI27" i="11"/>
  <c r="BI41" i="11"/>
  <c r="BI45" i="11" s="1"/>
  <c r="AZ29" i="11"/>
  <c r="AZ30" i="11" s="1"/>
  <c r="AZ41" i="11"/>
  <c r="AZ45" i="11" s="1"/>
  <c r="AZ27" i="11"/>
  <c r="BG100" i="11"/>
  <c r="G54" i="9"/>
  <c r="F54" i="9"/>
  <c r="H54" i="9"/>
  <c r="D54" i="9"/>
  <c r="J54" i="9"/>
  <c r="F13" i="9"/>
  <c r="E54" i="9"/>
  <c r="I47" i="9"/>
  <c r="I48" i="9" s="1"/>
  <c r="I61" i="9"/>
  <c r="I62" i="9" s="1"/>
  <c r="I54" i="9"/>
  <c r="K54" i="9"/>
  <c r="M54" i="9"/>
  <c r="J61" i="9"/>
  <c r="J47" i="9"/>
  <c r="J48" i="9" s="1"/>
  <c r="G62" i="9"/>
  <c r="E62" i="9"/>
  <c r="L54" i="9"/>
  <c r="B16" i="66" l="1"/>
  <c r="H50" i="18"/>
  <c r="H51" i="18" s="1"/>
  <c r="BO30" i="11"/>
  <c r="O26" i="12"/>
  <c r="N27" i="12"/>
  <c r="H50" i="1"/>
  <c r="H51" i="1" s="1"/>
  <c r="AN32" i="11"/>
  <c r="AN33" i="11" s="1"/>
  <c r="AQ29" i="11"/>
  <c r="AQ32" i="11" s="1"/>
  <c r="AQ33" i="11" s="1"/>
  <c r="O27" i="12"/>
  <c r="L79" i="1"/>
  <c r="K79" i="1" s="1"/>
  <c r="J79" i="1" s="1"/>
  <c r="I79" i="1" s="1"/>
  <c r="H79" i="1" s="1"/>
  <c r="E32" i="21"/>
  <c r="F7" i="45"/>
  <c r="AH32" i="11"/>
  <c r="AH33" i="11" s="1"/>
  <c r="AF32" i="11"/>
  <c r="AF33" i="11" s="1"/>
  <c r="AF30" i="11"/>
  <c r="BB27" i="11"/>
  <c r="BG29" i="11"/>
  <c r="BG30" i="11" s="1"/>
  <c r="AN201" i="11"/>
  <c r="AN203" i="11" s="1"/>
  <c r="AG41" i="11"/>
  <c r="AL41" i="11"/>
  <c r="M42" i="12"/>
  <c r="N42" i="12" s="1"/>
  <c r="AL45" i="11"/>
  <c r="AQ45" i="11"/>
  <c r="BL41" i="11"/>
  <c r="AM201" i="11"/>
  <c r="AM203" i="11" s="1"/>
  <c r="BH45" i="11"/>
  <c r="BL45" i="11" s="1"/>
  <c r="AS201" i="11"/>
  <c r="AS203" i="11" s="1"/>
  <c r="AU201" i="11"/>
  <c r="AU203" i="11" s="1"/>
  <c r="AL29" i="11"/>
  <c r="AL30" i="11" s="1"/>
  <c r="AQ201" i="11"/>
  <c r="AQ203" i="11" s="1"/>
  <c r="AX201" i="11" s="1"/>
  <c r="AX203" i="11" s="1"/>
  <c r="AW27" i="11"/>
  <c r="AQ41" i="11"/>
  <c r="BG41" i="11"/>
  <c r="AT201" i="11"/>
  <c r="AT203" i="11" s="1"/>
  <c r="E31" i="1"/>
  <c r="E33" i="1"/>
  <c r="E37" i="1" s="1"/>
  <c r="E31" i="18"/>
  <c r="E33" i="18"/>
  <c r="E37" i="18" s="1"/>
  <c r="J62" i="9"/>
  <c r="E23" i="18"/>
  <c r="E23" i="1"/>
  <c r="AJ32" i="11"/>
  <c r="AJ33" i="11" s="1"/>
  <c r="F31" i="1"/>
  <c r="F33" i="1"/>
  <c r="F37" i="1" s="1"/>
  <c r="E23" i="21"/>
  <c r="E25" i="21"/>
  <c r="AO201" i="11"/>
  <c r="AO203" i="11" s="1"/>
  <c r="F31" i="18"/>
  <c r="F33" i="18"/>
  <c r="F37" i="18" s="1"/>
  <c r="G31" i="1"/>
  <c r="G33" i="1"/>
  <c r="G37" i="1" s="1"/>
  <c r="D26" i="21"/>
  <c r="D28" i="21"/>
  <c r="J50" i="18"/>
  <c r="J51" i="18" s="1"/>
  <c r="P27" i="12"/>
  <c r="J50" i="1"/>
  <c r="J51" i="1" s="1"/>
  <c r="P26" i="12"/>
  <c r="F28" i="21"/>
  <c r="F26" i="21"/>
  <c r="G26" i="21"/>
  <c r="G28" i="21"/>
  <c r="G33" i="18"/>
  <c r="G37" i="18" s="1"/>
  <c r="G31" i="18"/>
  <c r="C28" i="21"/>
  <c r="C29" i="21" s="1"/>
  <c r="C26" i="21"/>
  <c r="J10" i="14"/>
  <c r="I16" i="14"/>
  <c r="I18" i="14" s="1"/>
  <c r="I19" i="14" s="1"/>
  <c r="Q25" i="12" s="1"/>
  <c r="M32" i="12"/>
  <c r="M37" i="12"/>
  <c r="M47" i="12"/>
  <c r="AP32" i="11"/>
  <c r="AP33" i="11" s="1"/>
  <c r="AP30" i="11"/>
  <c r="BB45" i="11"/>
  <c r="AW41" i="11"/>
  <c r="AS45" i="11"/>
  <c r="AW45" i="11" s="1"/>
  <c r="BL27" i="11"/>
  <c r="BL29" i="11"/>
  <c r="BL30" i="11" s="1"/>
  <c r="BB41" i="11"/>
  <c r="B20" i="66" l="1"/>
  <c r="B21" i="66"/>
  <c r="I51" i="18"/>
  <c r="D58" i="18"/>
  <c r="N40" i="12"/>
  <c r="N39" i="12" s="1"/>
  <c r="N56" i="12" s="1"/>
  <c r="I51" i="1"/>
  <c r="D58" i="1"/>
  <c r="AQ30" i="11"/>
  <c r="S42" i="12"/>
  <c r="H37" i="1"/>
  <c r="H33" i="1" s="1"/>
  <c r="F29" i="21"/>
  <c r="G5" i="45"/>
  <c r="G9" i="45" s="1"/>
  <c r="G11" i="45" s="1"/>
  <c r="G29" i="21"/>
  <c r="H5" i="45"/>
  <c r="H9" i="45" s="1"/>
  <c r="H11" i="45" s="1"/>
  <c r="D29" i="21"/>
  <c r="E5" i="45"/>
  <c r="E9" i="45" s="1"/>
  <c r="E11" i="45" s="1"/>
  <c r="AG32" i="11"/>
  <c r="AG33" i="11" s="1"/>
  <c r="R42" i="12"/>
  <c r="O42" i="12"/>
  <c r="O40" i="12" s="1"/>
  <c r="P42" i="12"/>
  <c r="P40" i="12" s="1"/>
  <c r="Q42" i="12"/>
  <c r="AY201" i="11"/>
  <c r="AY203" i="11" s="1"/>
  <c r="AZ201" i="11"/>
  <c r="AZ203" i="11" s="1"/>
  <c r="BB201" i="11"/>
  <c r="BB203" i="11" s="1"/>
  <c r="BG201" i="11" s="1"/>
  <c r="BG203" i="11" s="1"/>
  <c r="BL201" i="11" s="1"/>
  <c r="BL203" i="11" s="1"/>
  <c r="AL32" i="11"/>
  <c r="AL33" i="11" s="1"/>
  <c r="E26" i="21"/>
  <c r="E28" i="21"/>
  <c r="K37" i="1"/>
  <c r="K33" i="1" s="1"/>
  <c r="J37" i="1"/>
  <c r="J33" i="1" s="1"/>
  <c r="I37" i="1"/>
  <c r="I33" i="1" s="1"/>
  <c r="M37" i="1"/>
  <c r="M33" i="1" s="1"/>
  <c r="L37" i="1"/>
  <c r="L33" i="1" s="1"/>
  <c r="J37" i="18"/>
  <c r="J33" i="18" s="1"/>
  <c r="K37" i="18"/>
  <c r="K33" i="18" s="1"/>
  <c r="L37" i="18"/>
  <c r="L33" i="18" s="1"/>
  <c r="I37" i="18"/>
  <c r="I33" i="18" s="1"/>
  <c r="H37" i="18"/>
  <c r="H33" i="18" s="1"/>
  <c r="M37" i="18"/>
  <c r="M33" i="18" s="1"/>
  <c r="Q26" i="12"/>
  <c r="K50" i="18"/>
  <c r="K51" i="18" s="1"/>
  <c r="Q27" i="12"/>
  <c r="K50" i="1"/>
  <c r="K51" i="1" s="1"/>
  <c r="J16" i="14"/>
  <c r="J18" i="14" s="1"/>
  <c r="J19" i="14" s="1"/>
  <c r="R25" i="12" s="1"/>
  <c r="K10" i="14"/>
  <c r="K16" i="14" s="1"/>
  <c r="K18" i="14" s="1"/>
  <c r="K19" i="14" s="1"/>
  <c r="S37" i="12"/>
  <c r="O37" i="12"/>
  <c r="O35" i="12" s="1"/>
  <c r="N37" i="12"/>
  <c r="N35" i="12" s="1"/>
  <c r="N34" i="12" s="1"/>
  <c r="R37" i="12"/>
  <c r="Q37" i="12"/>
  <c r="P37" i="12"/>
  <c r="P35" i="12" s="1"/>
  <c r="P32" i="12"/>
  <c r="P30" i="12" s="1"/>
  <c r="O32" i="12"/>
  <c r="O30" i="12" s="1"/>
  <c r="S32" i="12"/>
  <c r="R32" i="12"/>
  <c r="Q32" i="12"/>
  <c r="N32" i="12"/>
  <c r="N30" i="12" s="1"/>
  <c r="N29" i="12" s="1"/>
  <c r="R47" i="12"/>
  <c r="Q47" i="12"/>
  <c r="P47" i="12"/>
  <c r="P45" i="12" s="1"/>
  <c r="O47" i="12"/>
  <c r="O45" i="12" s="1"/>
  <c r="N47" i="12"/>
  <c r="N45" i="12" s="1"/>
  <c r="N44" i="12" s="1"/>
  <c r="S47" i="12"/>
  <c r="E5" i="8"/>
  <c r="F5" i="8" s="1"/>
  <c r="G5" i="8" s="1"/>
  <c r="H5" i="8" s="1"/>
  <c r="I5" i="8" s="1"/>
  <c r="J5" i="8" s="1"/>
  <c r="K5" i="8" s="1"/>
  <c r="L5" i="8" s="1"/>
  <c r="M5" i="8" s="1"/>
  <c r="N5" i="8" s="1"/>
  <c r="O5" i="8" s="1"/>
  <c r="P5" i="8" s="1"/>
  <c r="Q5" i="8" s="1"/>
  <c r="G2" i="7"/>
  <c r="O39" i="12" l="1"/>
  <c r="P39" i="12" s="1"/>
  <c r="E29" i="21"/>
  <c r="F5" i="45"/>
  <c r="F9" i="45" s="1"/>
  <c r="F11" i="45" s="1"/>
  <c r="Q40" i="12"/>
  <c r="Q35" i="12"/>
  <c r="Q45" i="12"/>
  <c r="E22" i="14"/>
  <c r="E23" i="14"/>
  <c r="S25" i="12"/>
  <c r="R26" i="12"/>
  <c r="L50" i="18"/>
  <c r="L51" i="18" s="1"/>
  <c r="R27" i="12"/>
  <c r="R40" i="12" s="1"/>
  <c r="L50" i="1"/>
  <c r="L51" i="1" s="1"/>
  <c r="H65" i="1"/>
  <c r="H65" i="18"/>
  <c r="Q30" i="12"/>
  <c r="O56" i="12"/>
  <c r="O29" i="12"/>
  <c r="N54" i="12"/>
  <c r="H63" i="1" s="1"/>
  <c r="H68" i="1" s="1"/>
  <c r="D69" i="1" s="1"/>
  <c r="O44" i="12"/>
  <c r="N57" i="12"/>
  <c r="O34" i="12"/>
  <c r="N55" i="12"/>
  <c r="N59" i="12" s="1"/>
  <c r="C122" i="3"/>
  <c r="B121" i="3"/>
  <c r="F6" i="8"/>
  <c r="F2" i="8"/>
  <c r="G2" i="8" s="1"/>
  <c r="C1" i="8" a="1"/>
  <c r="C1" i="8" s="1"/>
  <c r="E6" i="8"/>
  <c r="V2" i="8"/>
  <c r="V3" i="8" s="1"/>
  <c r="R2" i="8"/>
  <c r="R3" i="8" s="1"/>
  <c r="N2" i="8"/>
  <c r="N3" i="8" s="1"/>
  <c r="J2" i="8"/>
  <c r="J3" i="8" s="1"/>
  <c r="C135" i="4"/>
  <c r="D19" i="4" s="1"/>
  <c r="C138" i="4"/>
  <c r="C141" i="4"/>
  <c r="C144" i="4"/>
  <c r="C147" i="4"/>
  <c r="C150" i="4"/>
  <c r="C153" i="4"/>
  <c r="F81" i="7"/>
  <c r="G81" i="7" s="1"/>
  <c r="E81" i="7"/>
  <c r="F80" i="7"/>
  <c r="G80" i="7" s="1"/>
  <c r="E80" i="7"/>
  <c r="F79" i="7"/>
  <c r="G79" i="7" s="1"/>
  <c r="E79" i="7"/>
  <c r="F78" i="7"/>
  <c r="G78" i="7" s="1"/>
  <c r="E78" i="7"/>
  <c r="F77" i="7"/>
  <c r="G77" i="7" s="1"/>
  <c r="E77" i="7"/>
  <c r="F76" i="7"/>
  <c r="G76" i="7" s="1"/>
  <c r="E76" i="7"/>
  <c r="F75" i="7"/>
  <c r="G75" i="7" s="1"/>
  <c r="E75" i="7"/>
  <c r="F74" i="7"/>
  <c r="G74" i="7" s="1"/>
  <c r="E74" i="7"/>
  <c r="F73" i="7"/>
  <c r="G73" i="7" s="1"/>
  <c r="E73" i="7"/>
  <c r="F72" i="7"/>
  <c r="G72" i="7" s="1"/>
  <c r="E72" i="7"/>
  <c r="F71" i="7"/>
  <c r="G71" i="7" s="1"/>
  <c r="E71" i="7"/>
  <c r="F70" i="7"/>
  <c r="G70" i="7" s="1"/>
  <c r="E70" i="7"/>
  <c r="F69" i="7"/>
  <c r="G69" i="7" s="1"/>
  <c r="E69" i="7"/>
  <c r="F68" i="7"/>
  <c r="G68" i="7" s="1"/>
  <c r="E68" i="7"/>
  <c r="F67" i="7"/>
  <c r="G67" i="7" s="1"/>
  <c r="E67" i="7"/>
  <c r="F66" i="7"/>
  <c r="G66" i="7" s="1"/>
  <c r="E66" i="7"/>
  <c r="F65" i="7"/>
  <c r="G65" i="7" s="1"/>
  <c r="E65" i="7"/>
  <c r="F64" i="7"/>
  <c r="G64" i="7" s="1"/>
  <c r="E64" i="7"/>
  <c r="F63" i="7"/>
  <c r="G63" i="7" s="1"/>
  <c r="E63" i="7"/>
  <c r="F62" i="7"/>
  <c r="G62" i="7" s="1"/>
  <c r="E62" i="7"/>
  <c r="F61" i="7"/>
  <c r="G61" i="7" s="1"/>
  <c r="E61" i="7"/>
  <c r="F60" i="7"/>
  <c r="G60" i="7" s="1"/>
  <c r="E60" i="7"/>
  <c r="F59" i="7"/>
  <c r="G59" i="7" s="1"/>
  <c r="E59" i="7"/>
  <c r="F58" i="7"/>
  <c r="G58" i="7" s="1"/>
  <c r="E58" i="7"/>
  <c r="F57" i="7"/>
  <c r="G57" i="7" s="1"/>
  <c r="E57" i="7"/>
  <c r="F56" i="7"/>
  <c r="G56" i="7" s="1"/>
  <c r="E56" i="7"/>
  <c r="F55" i="7"/>
  <c r="G55" i="7" s="1"/>
  <c r="E55" i="7"/>
  <c r="F54" i="7"/>
  <c r="G54" i="7" s="1"/>
  <c r="E54" i="7"/>
  <c r="F53" i="7"/>
  <c r="G53" i="7" s="1"/>
  <c r="E53" i="7"/>
  <c r="F52" i="7"/>
  <c r="G52" i="7" s="1"/>
  <c r="E52" i="7"/>
  <c r="F51" i="7"/>
  <c r="G51" i="7" s="1"/>
  <c r="E51" i="7"/>
  <c r="F50" i="7"/>
  <c r="G50" i="7" s="1"/>
  <c r="E50" i="7"/>
  <c r="F49" i="7"/>
  <c r="G49" i="7" s="1"/>
  <c r="E49" i="7"/>
  <c r="F48" i="7"/>
  <c r="G48" i="7" s="1"/>
  <c r="E48" i="7"/>
  <c r="F47" i="7"/>
  <c r="G47" i="7" s="1"/>
  <c r="E47" i="7"/>
  <c r="F46" i="7"/>
  <c r="G46" i="7" s="1"/>
  <c r="E46" i="7"/>
  <c r="F45" i="7"/>
  <c r="G45" i="7" s="1"/>
  <c r="E45" i="7"/>
  <c r="F44" i="7"/>
  <c r="G44" i="7" s="1"/>
  <c r="E44" i="7"/>
  <c r="F43" i="7"/>
  <c r="G43" i="7" s="1"/>
  <c r="E43" i="7"/>
  <c r="F42" i="7"/>
  <c r="G42" i="7" s="1"/>
  <c r="E42" i="7"/>
  <c r="F41" i="7"/>
  <c r="G41" i="7" s="1"/>
  <c r="E41" i="7"/>
  <c r="F40" i="7"/>
  <c r="G40" i="7" s="1"/>
  <c r="E40" i="7"/>
  <c r="F39" i="7"/>
  <c r="G39" i="7" s="1"/>
  <c r="E39" i="7"/>
  <c r="F38" i="7"/>
  <c r="G38" i="7" s="1"/>
  <c r="E38" i="7"/>
  <c r="F37" i="7"/>
  <c r="G37" i="7" s="1"/>
  <c r="E37" i="7"/>
  <c r="F36" i="7"/>
  <c r="G36" i="7" s="1"/>
  <c r="E36" i="7"/>
  <c r="F35" i="7"/>
  <c r="G35" i="7" s="1"/>
  <c r="E35" i="7"/>
  <c r="F34" i="7"/>
  <c r="G34" i="7" s="1"/>
  <c r="E34" i="7"/>
  <c r="F33" i="7"/>
  <c r="G33" i="7" s="1"/>
  <c r="E33" i="7"/>
  <c r="F32" i="7"/>
  <c r="G32" i="7" s="1"/>
  <c r="E32" i="7"/>
  <c r="F31" i="7"/>
  <c r="G31" i="7" s="1"/>
  <c r="E31" i="7"/>
  <c r="F30" i="7"/>
  <c r="G30" i="7" s="1"/>
  <c r="E30" i="7"/>
  <c r="F29" i="7"/>
  <c r="G29" i="7" s="1"/>
  <c r="E29" i="7"/>
  <c r="F28" i="7"/>
  <c r="G28" i="7" s="1"/>
  <c r="E28" i="7"/>
  <c r="F27" i="7"/>
  <c r="G27" i="7" s="1"/>
  <c r="E27" i="7"/>
  <c r="F26" i="7"/>
  <c r="G26" i="7" s="1"/>
  <c r="E26" i="7"/>
  <c r="F25" i="7"/>
  <c r="G25" i="7" s="1"/>
  <c r="E25" i="7"/>
  <c r="F24" i="7"/>
  <c r="G24" i="7" s="1"/>
  <c r="E24" i="7"/>
  <c r="F23" i="7"/>
  <c r="G23" i="7" s="1"/>
  <c r="E23" i="7"/>
  <c r="F22" i="7"/>
  <c r="G22" i="7" s="1"/>
  <c r="E22" i="7"/>
  <c r="F21" i="7"/>
  <c r="G21" i="7" s="1"/>
  <c r="E21" i="7"/>
  <c r="F20" i="7"/>
  <c r="G20" i="7" s="1"/>
  <c r="E20" i="7"/>
  <c r="F19" i="7"/>
  <c r="G19" i="7" s="1"/>
  <c r="E19" i="7"/>
  <c r="F18" i="7"/>
  <c r="G18" i="7" s="1"/>
  <c r="E18" i="7"/>
  <c r="F17" i="7"/>
  <c r="G17" i="7" s="1"/>
  <c r="E17" i="7"/>
  <c r="F16" i="7"/>
  <c r="G16" i="7" s="1"/>
  <c r="E16" i="7"/>
  <c r="F15" i="7"/>
  <c r="G15" i="7" s="1"/>
  <c r="E15" i="7"/>
  <c r="F14" i="7"/>
  <c r="G14" i="7" s="1"/>
  <c r="E14" i="7"/>
  <c r="F13" i="7"/>
  <c r="G13" i="7" s="1"/>
  <c r="E13" i="7"/>
  <c r="F12" i="7"/>
  <c r="G12" i="7" s="1"/>
  <c r="E12" i="7"/>
  <c r="F11" i="7"/>
  <c r="G11" i="7" s="1"/>
  <c r="E11" i="7"/>
  <c r="F10" i="7"/>
  <c r="G10" i="7" s="1"/>
  <c r="E10" i="7"/>
  <c r="F9" i="7"/>
  <c r="G9" i="7" s="1"/>
  <c r="E9" i="7"/>
  <c r="F8" i="7"/>
  <c r="G8" i="7" s="1"/>
  <c r="E8" i="7"/>
  <c r="F7" i="7"/>
  <c r="G7" i="7" s="1"/>
  <c r="E7" i="7"/>
  <c r="F6" i="7"/>
  <c r="G6" i="7" s="1"/>
  <c r="E6" i="7"/>
  <c r="F5" i="7"/>
  <c r="G5" i="7" s="1"/>
  <c r="E5" i="7"/>
  <c r="F4" i="7"/>
  <c r="G4" i="7" s="1"/>
  <c r="E4" i="7"/>
  <c r="F3" i="7"/>
  <c r="G3" i="7" s="1"/>
  <c r="E3" i="7"/>
  <c r="H2" i="7"/>
  <c r="F2" i="7"/>
  <c r="E2" i="7"/>
  <c r="C408" i="4"/>
  <c r="C405" i="4"/>
  <c r="C402" i="4"/>
  <c r="C399" i="4"/>
  <c r="C396" i="4"/>
  <c r="C393" i="4"/>
  <c r="C390" i="4"/>
  <c r="C387" i="4"/>
  <c r="C384" i="4"/>
  <c r="C381" i="4"/>
  <c r="C378" i="4"/>
  <c r="C375" i="4"/>
  <c r="C372" i="4"/>
  <c r="C369" i="4"/>
  <c r="C366" i="4"/>
  <c r="C363" i="4"/>
  <c r="C360" i="4"/>
  <c r="C357" i="4"/>
  <c r="C354" i="4"/>
  <c r="C351" i="4"/>
  <c r="C348" i="4"/>
  <c r="C345" i="4"/>
  <c r="C342" i="4"/>
  <c r="C339" i="4"/>
  <c r="C336" i="4"/>
  <c r="C333" i="4"/>
  <c r="C330" i="4"/>
  <c r="C327" i="4"/>
  <c r="C324" i="4"/>
  <c r="C321" i="4"/>
  <c r="C318" i="4"/>
  <c r="C315" i="4"/>
  <c r="C312" i="4"/>
  <c r="C309" i="4"/>
  <c r="C306" i="4"/>
  <c r="C303" i="4"/>
  <c r="C300" i="4"/>
  <c r="C297" i="4"/>
  <c r="C294" i="4"/>
  <c r="C291" i="4"/>
  <c r="C288" i="4"/>
  <c r="C285" i="4"/>
  <c r="C282" i="4"/>
  <c r="C279" i="4"/>
  <c r="C276" i="4"/>
  <c r="C273" i="4"/>
  <c r="C270" i="4"/>
  <c r="C267" i="4"/>
  <c r="C264" i="4"/>
  <c r="C261" i="4"/>
  <c r="C258" i="4"/>
  <c r="C255" i="4"/>
  <c r="C252" i="4"/>
  <c r="C249" i="4"/>
  <c r="C246" i="4"/>
  <c r="C243" i="4"/>
  <c r="C240" i="4"/>
  <c r="C237" i="4"/>
  <c r="C234" i="4"/>
  <c r="C231" i="4"/>
  <c r="C228" i="4"/>
  <c r="C225" i="4"/>
  <c r="C222" i="4"/>
  <c r="C219" i="4"/>
  <c r="C216" i="4"/>
  <c r="C213" i="4"/>
  <c r="C210" i="4"/>
  <c r="C207" i="4"/>
  <c r="C204" i="4"/>
  <c r="C201" i="4"/>
  <c r="C198" i="4"/>
  <c r="C195" i="4"/>
  <c r="C192" i="4"/>
  <c r="C189" i="4"/>
  <c r="C186" i="4"/>
  <c r="C183" i="4"/>
  <c r="C180" i="4"/>
  <c r="C177" i="4"/>
  <c r="C174" i="4"/>
  <c r="C171" i="4"/>
  <c r="C168" i="4"/>
  <c r="C165" i="4"/>
  <c r="C162" i="4"/>
  <c r="C159" i="4"/>
  <c r="C156" i="4"/>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F3" i="3" a="1"/>
  <c r="F3" i="3" s="1"/>
  <c r="M10" i="1"/>
  <c r="R45" i="12" l="1"/>
  <c r="C3" i="8"/>
  <c r="H66" i="1"/>
  <c r="H66" i="18"/>
  <c r="H64" i="1"/>
  <c r="H64" i="18"/>
  <c r="R35" i="12"/>
  <c r="M50" i="18"/>
  <c r="S27" i="12"/>
  <c r="S26" i="12"/>
  <c r="M50" i="1"/>
  <c r="R30" i="12"/>
  <c r="E3" i="8"/>
  <c r="F8" i="8" s="1"/>
  <c r="F9" i="8" s="1"/>
  <c r="H63" i="18"/>
  <c r="H68" i="18" s="1"/>
  <c r="E2" i="3"/>
  <c r="G3" i="3" s="1"/>
  <c r="I65" i="1"/>
  <c r="I65" i="18"/>
  <c r="Z2" i="8"/>
  <c r="Z3" i="8" s="1"/>
  <c r="P44" i="12"/>
  <c r="O57" i="12"/>
  <c r="P56" i="12"/>
  <c r="Q39" i="12"/>
  <c r="O55" i="12"/>
  <c r="O59" i="12" s="1"/>
  <c r="P34" i="12"/>
  <c r="P29" i="12"/>
  <c r="O54" i="12"/>
  <c r="W2" i="8"/>
  <c r="X2" i="8" s="1"/>
  <c r="Y2" i="8" s="1"/>
  <c r="Y3" i="8" s="1"/>
  <c r="D3" i="8"/>
  <c r="O2" i="8"/>
  <c r="P2" i="8" s="1"/>
  <c r="Q2" i="8" s="1"/>
  <c r="Q3" i="8" s="1"/>
  <c r="K2" i="8"/>
  <c r="L2" i="8" s="1"/>
  <c r="M2" i="8" s="1"/>
  <c r="M3" i="8" s="1"/>
  <c r="F3" i="8"/>
  <c r="G8" i="8" s="1"/>
  <c r="G9" i="8" s="1"/>
  <c r="G3" i="8"/>
  <c r="H2" i="8"/>
  <c r="H3" i="8" s="1"/>
  <c r="S2" i="8"/>
  <c r="G6" i="8"/>
  <c r="E5" i="3"/>
  <c r="D54" i="1" l="1"/>
  <c r="H84" i="1"/>
  <c r="J65" i="1"/>
  <c r="J65" i="18"/>
  <c r="M51" i="18"/>
  <c r="D56" i="18"/>
  <c r="D54" i="18"/>
  <c r="D69" i="18"/>
  <c r="H84" i="18"/>
  <c r="I66" i="1"/>
  <c r="I66" i="18"/>
  <c r="I63" i="1"/>
  <c r="I68" i="1" s="1"/>
  <c r="I63" i="18"/>
  <c r="I68" i="18" s="1"/>
  <c r="I84" i="18" s="1"/>
  <c r="M51" i="1"/>
  <c r="I64" i="1"/>
  <c r="I64" i="18"/>
  <c r="S40" i="12"/>
  <c r="S45" i="12"/>
  <c r="S30" i="12"/>
  <c r="S35" i="12"/>
  <c r="AA2" i="8"/>
  <c r="AA3" i="8" s="1"/>
  <c r="P54" i="12"/>
  <c r="Q29" i="12"/>
  <c r="Q34" i="12"/>
  <c r="P55" i="12"/>
  <c r="P59" i="12" s="1"/>
  <c r="Q56" i="12"/>
  <c r="R39" i="12"/>
  <c r="P57" i="12"/>
  <c r="Q44" i="12"/>
  <c r="I2" i="8"/>
  <c r="I3" i="8" s="1"/>
  <c r="X3" i="8"/>
  <c r="W3" i="8"/>
  <c r="P3" i="8"/>
  <c r="K3" i="8"/>
  <c r="O3" i="8"/>
  <c r="L3" i="8"/>
  <c r="H8" i="8"/>
  <c r="H9" i="8" s="1"/>
  <c r="T2" i="8"/>
  <c r="S3" i="8"/>
  <c r="R5" i="8"/>
  <c r="S5" i="8" s="1"/>
  <c r="T5" i="8" s="1"/>
  <c r="U5" i="8" s="1"/>
  <c r="V5" i="8" s="1"/>
  <c r="W5" i="8" s="1"/>
  <c r="X5" i="8" s="1"/>
  <c r="Y5" i="8" s="1"/>
  <c r="Z5" i="8" s="1"/>
  <c r="AA5" i="8" s="1"/>
  <c r="AB5" i="8" s="1"/>
  <c r="AC5" i="8" s="1"/>
  <c r="AD5" i="8" s="1"/>
  <c r="J6" i="8"/>
  <c r="K8" i="8" s="1"/>
  <c r="K9" i="8" s="1"/>
  <c r="I6" i="8"/>
  <c r="K6" i="8"/>
  <c r="Q6" i="8"/>
  <c r="R8" i="8" s="1"/>
  <c r="R9" i="8" s="1"/>
  <c r="H6" i="8"/>
  <c r="I8" i="8" s="1"/>
  <c r="I9" i="8" s="1"/>
  <c r="L6" i="8"/>
  <c r="M6" i="8"/>
  <c r="N8" i="8" s="1"/>
  <c r="N9" i="8" s="1"/>
  <c r="P6" i="8"/>
  <c r="O6" i="8"/>
  <c r="N6" i="8"/>
  <c r="O8" i="8" s="1"/>
  <c r="O9" i="8" s="1"/>
  <c r="Q8" i="8" l="1"/>
  <c r="Q9" i="8" s="1"/>
  <c r="AB2" i="8"/>
  <c r="AC2" i="8" s="1"/>
  <c r="I84" i="1"/>
  <c r="J66" i="1"/>
  <c r="J66" i="18"/>
  <c r="K65" i="1"/>
  <c r="K65" i="18"/>
  <c r="J63" i="1"/>
  <c r="J68" i="1" s="1"/>
  <c r="J63" i="18"/>
  <c r="J68" i="18" s="1"/>
  <c r="J84" i="18" s="1"/>
  <c r="J64" i="1"/>
  <c r="J64" i="18"/>
  <c r="Q57" i="12"/>
  <c r="R44" i="12"/>
  <c r="S39" i="12"/>
  <c r="S56" i="12" s="1"/>
  <c r="R56" i="12"/>
  <c r="Q54" i="12"/>
  <c r="R29" i="12"/>
  <c r="Q55" i="12"/>
  <c r="Q59" i="12" s="1"/>
  <c r="R34" i="12"/>
  <c r="L8" i="8"/>
  <c r="L9" i="8" s="1"/>
  <c r="P8" i="8"/>
  <c r="P9" i="8" s="1"/>
  <c r="J8" i="8"/>
  <c r="J9" i="8" s="1"/>
  <c r="M8" i="8"/>
  <c r="M9" i="8" s="1"/>
  <c r="AD6" i="8"/>
  <c r="AE5" i="8"/>
  <c r="R6" i="8"/>
  <c r="S8" i="8" s="1"/>
  <c r="S9" i="8" s="1"/>
  <c r="U2" i="8"/>
  <c r="U3" i="8" s="1"/>
  <c r="T3" i="8"/>
  <c r="S6" i="8"/>
  <c r="T8" i="8" s="1"/>
  <c r="T9" i="8" s="1"/>
  <c r="I11" i="8"/>
  <c r="C13" i="8" s="1"/>
  <c r="D15" i="18" s="1"/>
  <c r="AB3" i="8" l="1"/>
  <c r="J84" i="1"/>
  <c r="K64" i="1"/>
  <c r="K64" i="18"/>
  <c r="K63" i="1"/>
  <c r="K68" i="1" s="1"/>
  <c r="K63" i="18"/>
  <c r="K68" i="18" s="1"/>
  <c r="K84" i="18" s="1"/>
  <c r="L65" i="1"/>
  <c r="L65" i="18"/>
  <c r="M65" i="1"/>
  <c r="M65" i="18"/>
  <c r="K66" i="1"/>
  <c r="K66" i="18"/>
  <c r="S34" i="12"/>
  <c r="S55" i="12" s="1"/>
  <c r="S59" i="12" s="1"/>
  <c r="R55" i="12"/>
  <c r="R59" i="12" s="1"/>
  <c r="R54" i="12"/>
  <c r="S29" i="12"/>
  <c r="S54" i="12" s="1"/>
  <c r="R57" i="12"/>
  <c r="S44" i="12"/>
  <c r="S57" i="12" s="1"/>
  <c r="B56" i="8"/>
  <c r="D15" i="1"/>
  <c r="AC3" i="8"/>
  <c r="AD2" i="8"/>
  <c r="AE6" i="8"/>
  <c r="AF5" i="8"/>
  <c r="T6" i="8"/>
  <c r="U8" i="8" s="1"/>
  <c r="U9" i="8" s="1"/>
  <c r="K84" i="1" l="1"/>
  <c r="M63" i="1"/>
  <c r="M68" i="1" s="1"/>
  <c r="M84" i="1" s="1"/>
  <c r="M63" i="18"/>
  <c r="M68" i="18" s="1"/>
  <c r="M84" i="18" s="1"/>
  <c r="L63" i="1"/>
  <c r="L68" i="1" s="1"/>
  <c r="L63" i="18"/>
  <c r="L68" i="18" s="1"/>
  <c r="L84" i="18" s="1"/>
  <c r="M64" i="1"/>
  <c r="M64" i="18"/>
  <c r="M66" i="1"/>
  <c r="M66" i="18"/>
  <c r="L66" i="1"/>
  <c r="L66" i="18"/>
  <c r="L64" i="1"/>
  <c r="L64" i="18"/>
  <c r="M5" i="9"/>
  <c r="M7" i="9" s="1"/>
  <c r="H23" i="1"/>
  <c r="AF6" i="8"/>
  <c r="AG5" i="8"/>
  <c r="AG6" i="8" s="1"/>
  <c r="AD3" i="8"/>
  <c r="AE8" i="8" s="1"/>
  <c r="AE9" i="8" s="1"/>
  <c r="AE2" i="8"/>
  <c r="U6" i="8"/>
  <c r="V8" i="8" s="1"/>
  <c r="V9" i="8" s="1"/>
  <c r="M46" i="9" l="1"/>
  <c r="M47" i="9" s="1"/>
  <c r="M48" i="9" s="1"/>
  <c r="L84" i="1"/>
  <c r="M6" i="9"/>
  <c r="M16" i="9"/>
  <c r="M17" i="9" s="1"/>
  <c r="M18" i="9" s="1"/>
  <c r="M22" i="9"/>
  <c r="M23" i="9" s="1"/>
  <c r="M24" i="9" s="1"/>
  <c r="M25" i="9" s="1"/>
  <c r="D86" i="18"/>
  <c r="D85" i="18"/>
  <c r="M28" i="9"/>
  <c r="M29" i="9" s="1"/>
  <c r="M30" i="9" s="1"/>
  <c r="M31" i="9" s="1"/>
  <c r="M10" i="9"/>
  <c r="M11" i="9" s="1"/>
  <c r="M12" i="9" s="1"/>
  <c r="M62" i="9"/>
  <c r="H21" i="1"/>
  <c r="M65" i="9"/>
  <c r="H22" i="1"/>
  <c r="M36" i="9"/>
  <c r="M44" i="9"/>
  <c r="AF2" i="8"/>
  <c r="AE3" i="8"/>
  <c r="AF8" i="8" s="1"/>
  <c r="AF9" i="8" s="1"/>
  <c r="V6" i="8"/>
  <c r="W8" i="8" s="1"/>
  <c r="W9" i="8" s="1"/>
  <c r="M11" i="8"/>
  <c r="C14" i="8" s="1"/>
  <c r="B57" i="8" s="1"/>
  <c r="D86" i="1" l="1"/>
  <c r="D85" i="1"/>
  <c r="N5" i="9"/>
  <c r="H25" i="1"/>
  <c r="H25" i="18"/>
  <c r="M32" i="9"/>
  <c r="R32" i="9" s="1"/>
  <c r="M19" i="9"/>
  <c r="M20" i="9" s="1"/>
  <c r="M13" i="9"/>
  <c r="M14" i="9" s="1"/>
  <c r="M26" i="9"/>
  <c r="P36" i="9"/>
  <c r="O36" i="9"/>
  <c r="Q36" i="9"/>
  <c r="N36" i="9"/>
  <c r="R36" i="9"/>
  <c r="AG2" i="8"/>
  <c r="AG3" i="8" s="1"/>
  <c r="AF3" i="8"/>
  <c r="AG8" i="8" s="1"/>
  <c r="AG9" i="8" s="1"/>
  <c r="W6" i="8"/>
  <c r="X8" i="8" s="1"/>
  <c r="X9" i="8" s="1"/>
  <c r="AV63" i="53" l="1"/>
  <c r="AV61" i="53"/>
  <c r="AV69" i="53"/>
  <c r="AV60" i="53"/>
  <c r="AV62" i="53"/>
  <c r="AV107" i="53" s="1"/>
  <c r="D26" i="1"/>
  <c r="AV63" i="30"/>
  <c r="AV61" i="30"/>
  <c r="AV62" i="30"/>
  <c r="AV107" i="30" s="1"/>
  <c r="AV61" i="49"/>
  <c r="AV69" i="30"/>
  <c r="AV60" i="30"/>
  <c r="H59" i="34"/>
  <c r="AV69" i="49"/>
  <c r="AV60" i="49"/>
  <c r="AV62" i="49"/>
  <c r="AV107" i="49" s="1"/>
  <c r="H59" i="48"/>
  <c r="AV63" i="49"/>
  <c r="H18" i="21"/>
  <c r="H12" i="21"/>
  <c r="H15" i="21"/>
  <c r="H11" i="21"/>
  <c r="H17" i="21"/>
  <c r="H38" i="1"/>
  <c r="H46" i="1" s="1"/>
  <c r="H126" i="1" s="1"/>
  <c r="H14" i="21"/>
  <c r="D26" i="18"/>
  <c r="H38" i="18"/>
  <c r="O32" i="9"/>
  <c r="N35" i="9"/>
  <c r="N34" i="9" s="1"/>
  <c r="N60" i="9"/>
  <c r="I22" i="18" s="1"/>
  <c r="P32" i="9"/>
  <c r="Q32" i="9"/>
  <c r="N26" i="9"/>
  <c r="N23" i="9" s="1"/>
  <c r="N22" i="9" s="1"/>
  <c r="P26" i="9"/>
  <c r="Q26" i="9"/>
  <c r="O26" i="9"/>
  <c r="R26" i="9"/>
  <c r="P14" i="9"/>
  <c r="R14" i="9"/>
  <c r="Q14" i="9"/>
  <c r="O14" i="9"/>
  <c r="N14" i="9"/>
  <c r="N11" i="9" s="1"/>
  <c r="N10" i="9" s="1"/>
  <c r="P20" i="9"/>
  <c r="O20" i="9"/>
  <c r="N20" i="9"/>
  <c r="N17" i="9" s="1"/>
  <c r="N16" i="9" s="1"/>
  <c r="Q20" i="9"/>
  <c r="R20" i="9"/>
  <c r="N47" i="9"/>
  <c r="N46" i="9" s="1"/>
  <c r="N43" i="9"/>
  <c r="N42" i="9" s="1"/>
  <c r="X6" i="8"/>
  <c r="Y8" i="8" s="1"/>
  <c r="Y9" i="8" s="1"/>
  <c r="AB60" i="53" l="1"/>
  <c r="AV81" i="53"/>
  <c r="AV105" i="53" s="1"/>
  <c r="AV65" i="53"/>
  <c r="AV70" i="53" s="1"/>
  <c r="AV82" i="53"/>
  <c r="AV106" i="53" s="1"/>
  <c r="AB61" i="53"/>
  <c r="AB63" i="53"/>
  <c r="AV84" i="53"/>
  <c r="AV108" i="53" s="1"/>
  <c r="AV65" i="30"/>
  <c r="AV70" i="30" s="1"/>
  <c r="AV81" i="30"/>
  <c r="AV105" i="30" s="1"/>
  <c r="AB60" i="30"/>
  <c r="H130" i="1"/>
  <c r="H127" i="1"/>
  <c r="AB63" i="49"/>
  <c r="AV84" i="49"/>
  <c r="AV108" i="49" s="1"/>
  <c r="AB61" i="49"/>
  <c r="AV82" i="49"/>
  <c r="H56" i="34"/>
  <c r="AB60" i="49"/>
  <c r="AV81" i="49"/>
  <c r="AV65" i="49"/>
  <c r="AV70" i="49" s="1"/>
  <c r="AB61" i="30"/>
  <c r="AV82" i="30"/>
  <c r="AV106" i="30" s="1"/>
  <c r="AV84" i="30"/>
  <c r="AV108" i="30" s="1"/>
  <c r="AB63" i="30"/>
  <c r="H56" i="48"/>
  <c r="H9" i="34"/>
  <c r="H54" i="48"/>
  <c r="H21" i="48"/>
  <c r="H54" i="34"/>
  <c r="H21" i="34"/>
  <c r="H9" i="48"/>
  <c r="H145" i="1"/>
  <c r="H39" i="1"/>
  <c r="H4" i="21"/>
  <c r="H46" i="18"/>
  <c r="H125" i="18" s="1"/>
  <c r="H129" i="18" s="1"/>
  <c r="H39" i="18"/>
  <c r="N65" i="9"/>
  <c r="I22" i="1"/>
  <c r="N61" i="9"/>
  <c r="N59" i="9"/>
  <c r="N67" i="9" s="1"/>
  <c r="Y6" i="8"/>
  <c r="Z8" i="8" s="1"/>
  <c r="Z9" i="8" s="1"/>
  <c r="AV111" i="53" l="1"/>
  <c r="AV114" i="53" s="1"/>
  <c r="AV116" i="53" s="1"/>
  <c r="AV86" i="53"/>
  <c r="AV93" i="53" s="1"/>
  <c r="AV94" i="53" s="1"/>
  <c r="AV96" i="53" s="1"/>
  <c r="AV86" i="49"/>
  <c r="AV93" i="49" s="1"/>
  <c r="AV94" i="49" s="1"/>
  <c r="AV71" i="49"/>
  <c r="H65" i="34"/>
  <c r="AV105" i="49"/>
  <c r="AV106" i="49"/>
  <c r="AV111" i="30"/>
  <c r="AV114" i="30" s="1"/>
  <c r="AV86" i="30"/>
  <c r="AV93" i="30" s="1"/>
  <c r="AV94" i="30" s="1"/>
  <c r="AV96" i="30" s="1"/>
  <c r="H13" i="48"/>
  <c r="H17" i="48" s="1"/>
  <c r="H65" i="48"/>
  <c r="H13" i="34"/>
  <c r="H17" i="34" s="1"/>
  <c r="H60" i="48"/>
  <c r="H23" i="48"/>
  <c r="H24" i="48" s="1"/>
  <c r="O61" i="48"/>
  <c r="O58" i="48"/>
  <c r="O59" i="48" s="1"/>
  <c r="H7" i="21"/>
  <c r="H60" i="34"/>
  <c r="H23" i="34"/>
  <c r="H24" i="34" s="1"/>
  <c r="I25" i="1"/>
  <c r="I25" i="18"/>
  <c r="I38" i="18" s="1"/>
  <c r="I21" i="1"/>
  <c r="I21" i="18"/>
  <c r="I23" i="1"/>
  <c r="I23" i="18"/>
  <c r="N62" i="9"/>
  <c r="Z6" i="8"/>
  <c r="AA8" i="8" s="1"/>
  <c r="AA9" i="8" s="1"/>
  <c r="Q11" i="8"/>
  <c r="C15" i="8" s="1"/>
  <c r="B58" i="8" s="1"/>
  <c r="AW61" i="53" l="1"/>
  <c r="AW62" i="53"/>
  <c r="AW107" i="53" s="1"/>
  <c r="AW63" i="53"/>
  <c r="AW60" i="53"/>
  <c r="AW69" i="53"/>
  <c r="AV96" i="49"/>
  <c r="H13" i="21"/>
  <c r="H20" i="21" s="1"/>
  <c r="H31" i="21" s="1"/>
  <c r="AV116" i="30"/>
  <c r="I10" i="45"/>
  <c r="AW63" i="30"/>
  <c r="AW62" i="30"/>
  <c r="AW107" i="30" s="1"/>
  <c r="AW61" i="49"/>
  <c r="AW60" i="49"/>
  <c r="AW61" i="30"/>
  <c r="AW69" i="30"/>
  <c r="AW60" i="30"/>
  <c r="AW69" i="49"/>
  <c r="I59" i="34"/>
  <c r="AW63" i="49"/>
  <c r="AW62" i="49"/>
  <c r="AW107" i="49" s="1"/>
  <c r="I59" i="48"/>
  <c r="I18" i="21"/>
  <c r="I12" i="21"/>
  <c r="I11" i="21"/>
  <c r="I38" i="1"/>
  <c r="I46" i="1" s="1"/>
  <c r="I126" i="1" s="1"/>
  <c r="AV111" i="49"/>
  <c r="AV114" i="49" s="1"/>
  <c r="AV116" i="49" s="1"/>
  <c r="H25" i="21"/>
  <c r="P85" i="38" s="1"/>
  <c r="H55" i="48"/>
  <c r="H6" i="48"/>
  <c r="H55" i="34"/>
  <c r="AI10" i="42"/>
  <c r="H6" i="34"/>
  <c r="I15" i="21"/>
  <c r="I14" i="21"/>
  <c r="I17" i="21"/>
  <c r="O5" i="9"/>
  <c r="O6" i="9" s="1"/>
  <c r="I39" i="18"/>
  <c r="I46" i="18"/>
  <c r="I125" i="18" s="1"/>
  <c r="I129" i="18" s="1"/>
  <c r="AA6" i="8"/>
  <c r="AB8" i="8" s="1"/>
  <c r="AB9" i="8" s="1"/>
  <c r="I7" i="45" l="1"/>
  <c r="H32" i="21"/>
  <c r="AW84" i="53"/>
  <c r="AW108" i="53" s="1"/>
  <c r="AC63" i="53"/>
  <c r="AC61" i="53"/>
  <c r="AW82" i="53"/>
  <c r="AW106" i="53" s="1"/>
  <c r="H22" i="21"/>
  <c r="H23" i="21" s="1"/>
  <c r="AW81" i="53"/>
  <c r="AC60" i="53"/>
  <c r="AW65" i="53"/>
  <c r="AW70" i="53" s="1"/>
  <c r="AW71" i="53" s="1"/>
  <c r="I39" i="1"/>
  <c r="AI12" i="42"/>
  <c r="AI13" i="42" s="1"/>
  <c r="AI15" i="42" s="1"/>
  <c r="AW82" i="30"/>
  <c r="AW106" i="30" s="1"/>
  <c r="AC61" i="30"/>
  <c r="AW81" i="49"/>
  <c r="AW105" i="49" s="1"/>
  <c r="AC60" i="49"/>
  <c r="AW65" i="49"/>
  <c r="AW70" i="49" s="1"/>
  <c r="AW84" i="49"/>
  <c r="AW108" i="49" s="1"/>
  <c r="AC63" i="49"/>
  <c r="AC61" i="49"/>
  <c r="AW82" i="49"/>
  <c r="AW106" i="49" s="1"/>
  <c r="I54" i="34"/>
  <c r="AC63" i="30"/>
  <c r="AW84" i="30"/>
  <c r="AW108" i="30" s="1"/>
  <c r="AC60" i="30"/>
  <c r="AW65" i="30"/>
  <c r="AW70" i="30" s="1"/>
  <c r="AW81" i="30"/>
  <c r="AW105" i="30" s="1"/>
  <c r="H28" i="21"/>
  <c r="H29" i="21" s="1"/>
  <c r="H26" i="21"/>
  <c r="I56" i="34"/>
  <c r="I9" i="34"/>
  <c r="I9" i="48"/>
  <c r="I54" i="48"/>
  <c r="I21" i="34"/>
  <c r="I21" i="48"/>
  <c r="I56" i="48"/>
  <c r="O7" i="9"/>
  <c r="O47" i="9" s="1"/>
  <c r="O46" i="9" s="1"/>
  <c r="AC6" i="8"/>
  <c r="AD8" i="8" s="1"/>
  <c r="AD9" i="8" s="1"/>
  <c r="AG11" i="8" s="1"/>
  <c r="C19" i="8" s="1"/>
  <c r="B23" i="8" s="1"/>
  <c r="AB6" i="8"/>
  <c r="AC8" i="8" s="1"/>
  <c r="AC9" i="8" s="1"/>
  <c r="AW86" i="53" l="1"/>
  <c r="AW93" i="53" s="1"/>
  <c r="AW94" i="53" s="1"/>
  <c r="AW96" i="53" s="1"/>
  <c r="AW105" i="53"/>
  <c r="AW111" i="53" s="1"/>
  <c r="AW114" i="53" s="1"/>
  <c r="AW116" i="53" s="1"/>
  <c r="O35" i="9"/>
  <c r="O34" i="9" s="1"/>
  <c r="O17" i="9"/>
  <c r="O16" i="9" s="1"/>
  <c r="O43" i="9"/>
  <c r="O42" i="9" s="1"/>
  <c r="AW111" i="30"/>
  <c r="AW114" i="30" s="1"/>
  <c r="H53" i="34"/>
  <c r="H61" i="34" s="1"/>
  <c r="H66" i="34" s="1"/>
  <c r="H71" i="34" s="1"/>
  <c r="H7" i="48"/>
  <c r="H12" i="48" s="1"/>
  <c r="H7" i="34"/>
  <c r="H12" i="34" s="1"/>
  <c r="H53" i="48"/>
  <c r="H61" i="48" s="1"/>
  <c r="H66" i="48" s="1"/>
  <c r="H71" i="48" s="1"/>
  <c r="AW111" i="49"/>
  <c r="AW114" i="49" s="1"/>
  <c r="AW116" i="49" s="1"/>
  <c r="O29" i="9"/>
  <c r="O28" i="9" s="1"/>
  <c r="O60" i="9" s="1"/>
  <c r="J22" i="18" s="1"/>
  <c r="AW86" i="30"/>
  <c r="AW93" i="30" s="1"/>
  <c r="AW94" i="30" s="1"/>
  <c r="AW96" i="30" s="1"/>
  <c r="AW71" i="30"/>
  <c r="I13" i="48"/>
  <c r="I17" i="48" s="1"/>
  <c r="I13" i="34"/>
  <c r="I17" i="34" s="1"/>
  <c r="I65" i="48"/>
  <c r="AW86" i="49"/>
  <c r="AW93" i="49" s="1"/>
  <c r="AW94" i="49" s="1"/>
  <c r="I65" i="34"/>
  <c r="AW71" i="49"/>
  <c r="O23" i="9"/>
  <c r="O22" i="9" s="1"/>
  <c r="O59" i="9" s="1"/>
  <c r="O67" i="9" s="1"/>
  <c r="I5" i="45"/>
  <c r="O11" i="9"/>
  <c r="O10" i="9" s="1"/>
  <c r="D13" i="1"/>
  <c r="D13" i="18"/>
  <c r="O61" i="9"/>
  <c r="U11" i="8"/>
  <c r="C16" i="8" s="1"/>
  <c r="B59" i="8" s="1"/>
  <c r="AW96" i="49" l="1"/>
  <c r="I13" i="21"/>
  <c r="I6" i="45"/>
  <c r="AW116" i="30"/>
  <c r="J10" i="45"/>
  <c r="J29" i="45" s="1"/>
  <c r="P5" i="9"/>
  <c r="P6" i="9" s="1"/>
  <c r="J23" i="1"/>
  <c r="J23" i="18"/>
  <c r="J21" i="1"/>
  <c r="J21" i="18"/>
  <c r="O65" i="9"/>
  <c r="J22" i="1"/>
  <c r="O62" i="9"/>
  <c r="Y11" i="8"/>
  <c r="C17" i="8" s="1"/>
  <c r="B60" i="8" s="1"/>
  <c r="Q5" i="9" s="1"/>
  <c r="P7" i="9" l="1"/>
  <c r="P11" i="9" s="1"/>
  <c r="P10" i="9" s="1"/>
  <c r="J25" i="1"/>
  <c r="J25" i="18"/>
  <c r="J38" i="18" s="1"/>
  <c r="Q6" i="9"/>
  <c r="Q7" i="9"/>
  <c r="AC11" i="8"/>
  <c r="C18" i="8" s="1"/>
  <c r="B22" i="8" s="1"/>
  <c r="AX60" i="53" l="1"/>
  <c r="AX63" i="53"/>
  <c r="AX62" i="53"/>
  <c r="AX107" i="53" s="1"/>
  <c r="AX69" i="53"/>
  <c r="AX61" i="53"/>
  <c r="P35" i="9"/>
  <c r="P34" i="9" s="1"/>
  <c r="P29" i="9"/>
  <c r="P28" i="9" s="1"/>
  <c r="P60" i="9" s="1"/>
  <c r="K22" i="18" s="1"/>
  <c r="P43" i="9"/>
  <c r="P42" i="9" s="1"/>
  <c r="P47" i="9"/>
  <c r="P46" i="9" s="1"/>
  <c r="P61" i="9" s="1"/>
  <c r="P23" i="9"/>
  <c r="P22" i="9" s="1"/>
  <c r="P59" i="9" s="1"/>
  <c r="P67" i="9" s="1"/>
  <c r="P17" i="9"/>
  <c r="P16" i="9" s="1"/>
  <c r="AX60" i="30"/>
  <c r="AX60" i="49"/>
  <c r="AX61" i="30"/>
  <c r="AX69" i="30"/>
  <c r="AX63" i="30"/>
  <c r="AX62" i="30"/>
  <c r="AX107" i="30" s="1"/>
  <c r="AX61" i="49"/>
  <c r="J59" i="34"/>
  <c r="AX62" i="49"/>
  <c r="AX107" i="49" s="1"/>
  <c r="AX63" i="49"/>
  <c r="AX69" i="49"/>
  <c r="J59" i="48"/>
  <c r="J18" i="21"/>
  <c r="J38" i="1"/>
  <c r="J39" i="1" s="1"/>
  <c r="J12" i="21"/>
  <c r="J14" i="21"/>
  <c r="J15" i="21"/>
  <c r="J17" i="21"/>
  <c r="J11" i="21"/>
  <c r="D11" i="1"/>
  <c r="D11" i="18"/>
  <c r="J39" i="18"/>
  <c r="J46" i="18"/>
  <c r="J125" i="18" s="1"/>
  <c r="J129" i="18" s="1"/>
  <c r="Q47" i="9"/>
  <c r="Q43" i="9"/>
  <c r="Q29" i="9"/>
  <c r="Q35" i="9"/>
  <c r="Q11" i="9"/>
  <c r="Q10" i="9" s="1"/>
  <c r="Q17" i="9"/>
  <c r="Q23" i="9"/>
  <c r="B61" i="8"/>
  <c r="E7" i="18" s="1" a="1"/>
  <c r="AX82" i="53" l="1"/>
  <c r="AX106" i="53" s="1"/>
  <c r="AD61" i="53"/>
  <c r="AD63" i="53"/>
  <c r="AX84" i="53"/>
  <c r="AX108" i="53" s="1"/>
  <c r="AD60" i="53"/>
  <c r="AX81" i="53"/>
  <c r="AX65" i="53"/>
  <c r="AX70" i="53" s="1"/>
  <c r="AX71" i="53" s="1"/>
  <c r="Q22" i="9"/>
  <c r="Q59" i="9" s="1"/>
  <c r="Q67" i="9" s="1"/>
  <c r="Q16" i="9"/>
  <c r="Q28" i="9"/>
  <c r="Q60" i="9" s="1"/>
  <c r="L22" i="18" s="1"/>
  <c r="Q34" i="9"/>
  <c r="Q42" i="9"/>
  <c r="Q46" i="9"/>
  <c r="Q61" i="9" s="1"/>
  <c r="AX84" i="30"/>
  <c r="AX108" i="30" s="1"/>
  <c r="AD63" i="30"/>
  <c r="AD61" i="49"/>
  <c r="AX82" i="49"/>
  <c r="AX106" i="49" s="1"/>
  <c r="AX82" i="30"/>
  <c r="AX106" i="30" s="1"/>
  <c r="AD61" i="30"/>
  <c r="AX84" i="49"/>
  <c r="AX108" i="49" s="1"/>
  <c r="AD63" i="49"/>
  <c r="AD60" i="49"/>
  <c r="AX81" i="49"/>
  <c r="AX65" i="49"/>
  <c r="AX70" i="49" s="1"/>
  <c r="AX65" i="30"/>
  <c r="AX70" i="30" s="1"/>
  <c r="AX81" i="30"/>
  <c r="AX105" i="30" s="1"/>
  <c r="AD60" i="30"/>
  <c r="J54" i="48"/>
  <c r="J21" i="48"/>
  <c r="J9" i="48"/>
  <c r="J56" i="34"/>
  <c r="J56" i="48"/>
  <c r="J54" i="34"/>
  <c r="J9" i="34"/>
  <c r="J21" i="34"/>
  <c r="J46" i="1"/>
  <c r="J126" i="1" s="1"/>
  <c r="J8" i="18"/>
  <c r="K8" i="18"/>
  <c r="M8" i="18"/>
  <c r="I8" i="18"/>
  <c r="G8" i="18"/>
  <c r="L8" i="18"/>
  <c r="H8" i="18"/>
  <c r="E7" i="18"/>
  <c r="F8" i="18" s="1"/>
  <c r="K21" i="1"/>
  <c r="K21" i="18"/>
  <c r="K23" i="1"/>
  <c r="K23" i="18"/>
  <c r="P65" i="9"/>
  <c r="K22" i="1"/>
  <c r="E7" i="1" a="1"/>
  <c r="R5" i="9"/>
  <c r="P62" i="9"/>
  <c r="AX86" i="53" l="1"/>
  <c r="AX93" i="53" s="1"/>
  <c r="AX94" i="53" s="1"/>
  <c r="AX96" i="53" s="1"/>
  <c r="AX105" i="53"/>
  <c r="AX111" i="53" s="1"/>
  <c r="AX114" i="53" s="1"/>
  <c r="AX116" i="53" s="1"/>
  <c r="AX86" i="49"/>
  <c r="AX93" i="49" s="1"/>
  <c r="AX94" i="49" s="1"/>
  <c r="AX86" i="30"/>
  <c r="AX93" i="30" s="1"/>
  <c r="AX94" i="30" s="1"/>
  <c r="AX96" i="30" s="1"/>
  <c r="AX71" i="30"/>
  <c r="J65" i="48"/>
  <c r="J13" i="48"/>
  <c r="J17" i="48" s="1"/>
  <c r="J13" i="34"/>
  <c r="J17" i="34" s="1"/>
  <c r="AX105" i="49"/>
  <c r="AX111" i="49" s="1"/>
  <c r="AX114" i="49" s="1"/>
  <c r="AX116" i="49" s="1"/>
  <c r="AX111" i="30"/>
  <c r="AX114" i="30" s="1"/>
  <c r="AX71" i="49"/>
  <c r="J65" i="34"/>
  <c r="L23" i="1"/>
  <c r="L23" i="18"/>
  <c r="L21" i="1"/>
  <c r="L21" i="18"/>
  <c r="K25" i="1"/>
  <c r="K25" i="18"/>
  <c r="K38" i="18" s="1"/>
  <c r="Q65" i="9"/>
  <c r="L22" i="1"/>
  <c r="E7" i="1"/>
  <c r="F8" i="1" s="1"/>
  <c r="G8" i="1"/>
  <c r="I8" i="1"/>
  <c r="H8" i="1"/>
  <c r="L8" i="1"/>
  <c r="J8" i="1"/>
  <c r="K8" i="1"/>
  <c r="M8" i="1"/>
  <c r="R6" i="9"/>
  <c r="R7" i="9"/>
  <c r="Q62" i="9"/>
  <c r="AY69" i="53" l="1"/>
  <c r="AY61" i="53"/>
  <c r="AY63" i="53"/>
  <c r="AY60" i="53"/>
  <c r="AY62" i="53"/>
  <c r="AY107" i="53" s="1"/>
  <c r="AX96" i="49"/>
  <c r="J13" i="21"/>
  <c r="AY60" i="30"/>
  <c r="AY61" i="30"/>
  <c r="AY63" i="30"/>
  <c r="AY62" i="30"/>
  <c r="AY107" i="30" s="1"/>
  <c r="AY61" i="49"/>
  <c r="AY69" i="30"/>
  <c r="AY60" i="49"/>
  <c r="AY62" i="49"/>
  <c r="AY107" i="49" s="1"/>
  <c r="AY63" i="49"/>
  <c r="AY69" i="49"/>
  <c r="K59" i="34"/>
  <c r="K59" i="48"/>
  <c r="K12" i="21"/>
  <c r="AX116" i="30"/>
  <c r="K10" i="45"/>
  <c r="K29" i="45" s="1"/>
  <c r="K38" i="1"/>
  <c r="K14" i="21"/>
  <c r="K15" i="21"/>
  <c r="K11" i="21"/>
  <c r="K18" i="21"/>
  <c r="K17" i="21"/>
  <c r="K46" i="18"/>
  <c r="K125" i="18" s="1"/>
  <c r="K129" i="18" s="1"/>
  <c r="K39" i="18"/>
  <c r="L25" i="1"/>
  <c r="L25" i="18"/>
  <c r="L38" i="18" s="1"/>
  <c r="R43" i="9"/>
  <c r="R42" i="9" s="1"/>
  <c r="R47" i="9"/>
  <c r="R46" i="9" s="1"/>
  <c r="R61" i="9" s="1"/>
  <c r="R29" i="9"/>
  <c r="R28" i="9" s="1"/>
  <c r="R60" i="9" s="1"/>
  <c r="M22" i="18" s="1"/>
  <c r="R35" i="9"/>
  <c r="R34" i="9" s="1"/>
  <c r="R11" i="9"/>
  <c r="R10" i="9" s="1"/>
  <c r="R23" i="9"/>
  <c r="R22" i="9" s="1"/>
  <c r="R59" i="9" s="1"/>
  <c r="R17" i="9"/>
  <c r="R16" i="9" s="1"/>
  <c r="AZ61" i="53" l="1"/>
  <c r="AZ69" i="53"/>
  <c r="AZ62" i="53"/>
  <c r="AZ107" i="53" s="1"/>
  <c r="AZ60" i="53"/>
  <c r="AZ63" i="53"/>
  <c r="AY81" i="53"/>
  <c r="AY65" i="53"/>
  <c r="AY70" i="53" s="1"/>
  <c r="AY71" i="53" s="1"/>
  <c r="AE60" i="53"/>
  <c r="AY84" i="53"/>
  <c r="AY108" i="53" s="1"/>
  <c r="AE63" i="53"/>
  <c r="AY82" i="53"/>
  <c r="AY106" i="53" s="1"/>
  <c r="AE61" i="53"/>
  <c r="AY82" i="49"/>
  <c r="AY106" i="49" s="1"/>
  <c r="AE61" i="49"/>
  <c r="AY81" i="49"/>
  <c r="AY65" i="49"/>
  <c r="AY70" i="49" s="1"/>
  <c r="AE60" i="49"/>
  <c r="AY84" i="30"/>
  <c r="AY108" i="30" s="1"/>
  <c r="AE63" i="30"/>
  <c r="AZ62" i="30"/>
  <c r="AZ107" i="30" s="1"/>
  <c r="AZ61" i="30"/>
  <c r="AZ60" i="49"/>
  <c r="AZ63" i="30"/>
  <c r="AZ69" i="30"/>
  <c r="AZ60" i="30"/>
  <c r="AZ61" i="49"/>
  <c r="AZ62" i="49"/>
  <c r="AZ107" i="49" s="1"/>
  <c r="AZ69" i="49"/>
  <c r="AZ63" i="49"/>
  <c r="L59" i="48"/>
  <c r="L59" i="34"/>
  <c r="L18" i="21"/>
  <c r="M21" i="18"/>
  <c r="R67" i="9"/>
  <c r="AY82" i="30"/>
  <c r="AY106" i="30" s="1"/>
  <c r="AE61" i="30"/>
  <c r="AY84" i="49"/>
  <c r="AY108" i="49" s="1"/>
  <c r="AE63" i="49"/>
  <c r="AY65" i="30"/>
  <c r="AY70" i="30" s="1"/>
  <c r="AY81" i="30"/>
  <c r="AE60" i="30"/>
  <c r="K56" i="34"/>
  <c r="K54" i="48"/>
  <c r="K21" i="48"/>
  <c r="K9" i="48"/>
  <c r="K56" i="48"/>
  <c r="K9" i="34"/>
  <c r="K21" i="34"/>
  <c r="K54" i="34"/>
  <c r="L38" i="1"/>
  <c r="L12" i="21"/>
  <c r="L11" i="21"/>
  <c r="L15" i="21"/>
  <c r="L14" i="21"/>
  <c r="L17" i="21"/>
  <c r="K39" i="1"/>
  <c r="K46" i="1"/>
  <c r="L46" i="18"/>
  <c r="L125" i="18" s="1"/>
  <c r="L129" i="18" s="1"/>
  <c r="L39" i="18"/>
  <c r="M23" i="1"/>
  <c r="M23" i="18"/>
  <c r="R62" i="9"/>
  <c r="M21" i="1"/>
  <c r="R65" i="9"/>
  <c r="M22" i="1"/>
  <c r="AY86" i="53" l="1"/>
  <c r="AY93" i="53" s="1"/>
  <c r="AY94" i="53" s="1"/>
  <c r="AY96" i="53" s="1"/>
  <c r="AF61" i="53"/>
  <c r="AY105" i="53"/>
  <c r="AY111" i="53" s="1"/>
  <c r="AY114" i="53" s="1"/>
  <c r="AY116" i="53" s="1"/>
  <c r="AF63" i="53"/>
  <c r="AZ81" i="53"/>
  <c r="AZ105" i="53" s="1"/>
  <c r="AZ65" i="53"/>
  <c r="AZ70" i="53" s="1"/>
  <c r="AZ71" i="53" s="1"/>
  <c r="AZ84" i="53"/>
  <c r="AZ108" i="53" s="1"/>
  <c r="AF60" i="53"/>
  <c r="AZ82" i="53"/>
  <c r="AZ106" i="53" s="1"/>
  <c r="AY86" i="30"/>
  <c r="AY93" i="30" s="1"/>
  <c r="AY94" i="30" s="1"/>
  <c r="AY96" i="30" s="1"/>
  <c r="AF63" i="30"/>
  <c r="AY86" i="49"/>
  <c r="AY93" i="49" s="1"/>
  <c r="AY94" i="49" s="1"/>
  <c r="AF61" i="30"/>
  <c r="AF63" i="49"/>
  <c r="AY105" i="49"/>
  <c r="AY111" i="49" s="1"/>
  <c r="AY114" i="49" s="1"/>
  <c r="AY116" i="49" s="1"/>
  <c r="AZ82" i="49"/>
  <c r="AZ106" i="49" s="1"/>
  <c r="AZ65" i="30"/>
  <c r="AZ70" i="30" s="1"/>
  <c r="AZ81" i="30"/>
  <c r="AZ105" i="30" s="1"/>
  <c r="AZ84" i="30"/>
  <c r="AZ108" i="30" s="1"/>
  <c r="AZ81" i="49"/>
  <c r="AZ105" i="49" s="1"/>
  <c r="AZ65" i="49"/>
  <c r="AZ70" i="49" s="1"/>
  <c r="AY71" i="30"/>
  <c r="K65" i="48"/>
  <c r="K13" i="48"/>
  <c r="K17" i="48" s="1"/>
  <c r="K13" i="34"/>
  <c r="K17" i="34" s="1"/>
  <c r="AF60" i="30"/>
  <c r="AZ84" i="49"/>
  <c r="AZ108" i="49" s="1"/>
  <c r="AZ82" i="30"/>
  <c r="AZ106" i="30" s="1"/>
  <c r="AF60" i="49"/>
  <c r="AF61" i="49"/>
  <c r="AY105" i="30"/>
  <c r="AY111" i="30" s="1"/>
  <c r="AY114" i="30" s="1"/>
  <c r="AY71" i="49"/>
  <c r="K65" i="34"/>
  <c r="L54" i="48"/>
  <c r="L21" i="48"/>
  <c r="L9" i="48"/>
  <c r="L56" i="34"/>
  <c r="L54" i="34"/>
  <c r="L9" i="34"/>
  <c r="L21" i="34"/>
  <c r="L56" i="48"/>
  <c r="L39" i="1"/>
  <c r="L46" i="1"/>
  <c r="M25" i="1"/>
  <c r="M25" i="18"/>
  <c r="M38" i="18" s="1"/>
  <c r="BA63" i="53" l="1"/>
  <c r="BA84" i="53" s="1"/>
  <c r="BA108" i="53" s="1"/>
  <c r="BA60" i="53"/>
  <c r="AG60" i="53" s="1"/>
  <c r="BA61" i="53"/>
  <c r="BA62" i="53"/>
  <c r="BA107" i="53" s="1"/>
  <c r="BA69" i="53"/>
  <c r="AZ86" i="53"/>
  <c r="AZ93" i="53" s="1"/>
  <c r="AZ94" i="53" s="1"/>
  <c r="AZ96" i="53" s="1"/>
  <c r="AZ111" i="53"/>
  <c r="AZ114" i="53" s="1"/>
  <c r="AZ116" i="53" s="1"/>
  <c r="AY96" i="49"/>
  <c r="K13" i="21"/>
  <c r="AZ86" i="49"/>
  <c r="AZ93" i="49" s="1"/>
  <c r="AZ94" i="49" s="1"/>
  <c r="AZ111" i="49"/>
  <c r="AZ114" i="49" s="1"/>
  <c r="AZ116" i="49" s="1"/>
  <c r="BA69" i="30"/>
  <c r="BA63" i="30"/>
  <c r="BA61" i="30"/>
  <c r="BA62" i="30"/>
  <c r="BA107" i="30" s="1"/>
  <c r="BA60" i="30"/>
  <c r="AG60" i="30" s="1"/>
  <c r="BA69" i="49"/>
  <c r="BA60" i="49"/>
  <c r="BA62" i="49"/>
  <c r="BA107" i="49" s="1"/>
  <c r="BA63" i="49"/>
  <c r="BA61" i="49"/>
  <c r="M59" i="48"/>
  <c r="M59" i="34"/>
  <c r="M18" i="21"/>
  <c r="AZ111" i="30"/>
  <c r="AZ114" i="30" s="1"/>
  <c r="AZ86" i="30"/>
  <c r="AZ93" i="30" s="1"/>
  <c r="AZ94" i="30" s="1"/>
  <c r="AZ96" i="30" s="1"/>
  <c r="AZ71" i="30"/>
  <c r="L65" i="48"/>
  <c r="L13" i="34"/>
  <c r="L17" i="34" s="1"/>
  <c r="L13" i="48"/>
  <c r="L17" i="48" s="1"/>
  <c r="AZ71" i="49"/>
  <c r="L65" i="34"/>
  <c r="M38" i="1"/>
  <c r="M46" i="1" s="1"/>
  <c r="AY116" i="30"/>
  <c r="L10" i="45"/>
  <c r="L29" i="45" s="1"/>
  <c r="M12" i="21"/>
  <c r="M14" i="21"/>
  <c r="M15" i="21"/>
  <c r="M11" i="21"/>
  <c r="M17" i="21"/>
  <c r="D41" i="18"/>
  <c r="M46" i="18"/>
  <c r="M125" i="18" s="1"/>
  <c r="M129" i="18" s="1"/>
  <c r="D40" i="18"/>
  <c r="M39" i="18"/>
  <c r="AG63" i="53" l="1"/>
  <c r="AZ96" i="49"/>
  <c r="L13" i="21"/>
  <c r="BA82" i="53"/>
  <c r="BA106" i="53" s="1"/>
  <c r="AG61" i="53"/>
  <c r="BA81" i="53"/>
  <c r="BA65" i="53"/>
  <c r="BA70" i="53" s="1"/>
  <c r="BA71" i="53" s="1"/>
  <c r="D41" i="1"/>
  <c r="D40" i="1"/>
  <c r="M39" i="1"/>
  <c r="BA82" i="30"/>
  <c r="BA106" i="30" s="1"/>
  <c r="AG61" i="30"/>
  <c r="AG61" i="49"/>
  <c r="BA82" i="49"/>
  <c r="BA106" i="49" s="1"/>
  <c r="BA84" i="30"/>
  <c r="BA108" i="30" s="1"/>
  <c r="AG63" i="30"/>
  <c r="BA84" i="49"/>
  <c r="BA108" i="49" s="1"/>
  <c r="AG63" i="49"/>
  <c r="AZ116" i="30"/>
  <c r="M10" i="45"/>
  <c r="M29" i="45" s="1"/>
  <c r="BA65" i="30"/>
  <c r="BA70" i="30" s="1"/>
  <c r="BA81" i="30"/>
  <c r="AG60" i="49"/>
  <c r="BA81" i="49"/>
  <c r="BA65" i="49"/>
  <c r="BA70" i="49" s="1"/>
  <c r="M56" i="34"/>
  <c r="M54" i="48"/>
  <c r="M21" i="48"/>
  <c r="M9" i="48"/>
  <c r="M56" i="48"/>
  <c r="M9" i="34"/>
  <c r="M54" i="34"/>
  <c r="M21" i="34"/>
  <c r="M126" i="1"/>
  <c r="M130" i="1" s="1"/>
  <c r="I124" i="1"/>
  <c r="I133" i="1" s="1"/>
  <c r="J137" i="1" s="1"/>
  <c r="BA105" i="53" l="1"/>
  <c r="BA111" i="53" s="1"/>
  <c r="BA114" i="53" s="1"/>
  <c r="BA116" i="53" s="1"/>
  <c r="BA86" i="53"/>
  <c r="BA93" i="53" s="1"/>
  <c r="BA94" i="53" s="1"/>
  <c r="BA96" i="53" s="1"/>
  <c r="BA71" i="30"/>
  <c r="M65" i="48"/>
  <c r="M13" i="48"/>
  <c r="M17" i="48" s="1"/>
  <c r="M13" i="34"/>
  <c r="M17" i="34" s="1"/>
  <c r="BA71" i="49"/>
  <c r="M65" i="34"/>
  <c r="BA105" i="49"/>
  <c r="BA111" i="49" s="1"/>
  <c r="BA114" i="49" s="1"/>
  <c r="BA116" i="49" s="1"/>
  <c r="BA86" i="49"/>
  <c r="BA93" i="49" s="1"/>
  <c r="BA94" i="49" s="1"/>
  <c r="BA105" i="30"/>
  <c r="BA111" i="30" s="1"/>
  <c r="BA114" i="30" s="1"/>
  <c r="BA86" i="30"/>
  <c r="BA93" i="30" s="1"/>
  <c r="BA94" i="30" s="1"/>
  <c r="BA96" i="30" s="1"/>
  <c r="M4" i="21"/>
  <c r="J133" i="1"/>
  <c r="K137" i="1" s="1"/>
  <c r="BA96" i="49" l="1"/>
  <c r="M13" i="21"/>
  <c r="N19" i="45" s="1"/>
  <c r="N20" i="45" s="1"/>
  <c r="BA116" i="30"/>
  <c r="N10" i="45"/>
  <c r="N29" i="45" s="1"/>
  <c r="M127" i="1"/>
  <c r="M23" i="48"/>
  <c r="M24" i="48" s="1"/>
  <c r="M60" i="34"/>
  <c r="M7" i="21"/>
  <c r="AN10" i="42" s="1"/>
  <c r="AN12" i="42" s="1"/>
  <c r="AN13" i="42" s="1"/>
  <c r="AN15" i="42" s="1"/>
  <c r="M23" i="34"/>
  <c r="M24" i="34" s="1"/>
  <c r="M60" i="48"/>
  <c r="O21" i="45" l="1"/>
  <c r="I127" i="1"/>
  <c r="I130" i="1"/>
  <c r="M10" i="21"/>
  <c r="M6" i="34"/>
  <c r="M6" i="48"/>
  <c r="M55" i="34"/>
  <c r="M55" i="48"/>
  <c r="M53" i="48"/>
  <c r="M7" i="48"/>
  <c r="M7" i="34"/>
  <c r="M53" i="34"/>
  <c r="J4" i="21"/>
  <c r="K121" i="1"/>
  <c r="I4" i="21"/>
  <c r="I145" i="1"/>
  <c r="J145" i="1"/>
  <c r="J130" i="1"/>
  <c r="L114" i="1"/>
  <c r="K126" i="1"/>
  <c r="L133" i="1" l="1"/>
  <c r="M137" i="1" s="1"/>
  <c r="L122" i="1"/>
  <c r="M12" i="48"/>
  <c r="M12" i="34"/>
  <c r="J127" i="1"/>
  <c r="L121" i="1"/>
  <c r="I60" i="48"/>
  <c r="I23" i="48"/>
  <c r="I24" i="48" s="1"/>
  <c r="I60" i="34"/>
  <c r="I23" i="34"/>
  <c r="I24" i="34" s="1"/>
  <c r="J60" i="48"/>
  <c r="J23" i="48"/>
  <c r="J24" i="48" s="1"/>
  <c r="J7" i="21"/>
  <c r="J10" i="21" s="1"/>
  <c r="J23" i="34"/>
  <c r="J24" i="34" s="1"/>
  <c r="J60" i="34"/>
  <c r="I7" i="21"/>
  <c r="K127" i="1"/>
  <c r="I119" i="1"/>
  <c r="J119" i="1" s="1"/>
  <c r="K119" i="1" s="1"/>
  <c r="L119" i="1" s="1"/>
  <c r="M121" i="1" l="1"/>
  <c r="L126" i="1"/>
  <c r="L4" i="21" s="1"/>
  <c r="J25" i="21"/>
  <c r="J55" i="48"/>
  <c r="J6" i="48"/>
  <c r="I55" i="48"/>
  <c r="I6" i="48"/>
  <c r="AJ10" i="42"/>
  <c r="I6" i="34"/>
  <c r="I55" i="34"/>
  <c r="I10" i="21"/>
  <c r="I20" i="21" s="1"/>
  <c r="I22" i="21" s="1"/>
  <c r="I23" i="21" s="1"/>
  <c r="AK10" i="42"/>
  <c r="AK12" i="42" s="1"/>
  <c r="AK13" i="42" s="1"/>
  <c r="AK15" i="42" s="1"/>
  <c r="J55" i="34"/>
  <c r="J6" i="34"/>
  <c r="J20" i="21"/>
  <c r="J22" i="21" s="1"/>
  <c r="J23" i="21" s="1"/>
  <c r="M20" i="21"/>
  <c r="M25" i="21"/>
  <c r="U85" i="38" s="1"/>
  <c r="K4" i="21"/>
  <c r="K145" i="1"/>
  <c r="K130" i="1"/>
  <c r="AJ12" i="42" l="1"/>
  <c r="AJ13" i="42" s="1"/>
  <c r="AJ15" i="42" s="1"/>
  <c r="J26" i="21"/>
  <c r="R85" i="38"/>
  <c r="J28" i="21"/>
  <c r="J29" i="21" s="1"/>
  <c r="L127" i="1"/>
  <c r="I58" i="34"/>
  <c r="I58" i="48"/>
  <c r="J58" i="48" s="1"/>
  <c r="L60" i="48"/>
  <c r="L23" i="48"/>
  <c r="L24" i="48" s="1"/>
  <c r="L60" i="34"/>
  <c r="L23" i="34"/>
  <c r="L24" i="34" s="1"/>
  <c r="K60" i="48"/>
  <c r="K23" i="48"/>
  <c r="K24" i="48" s="1"/>
  <c r="I25" i="21"/>
  <c r="J53" i="48"/>
  <c r="J7" i="48"/>
  <c r="J12" i="48" s="1"/>
  <c r="K23" i="34"/>
  <c r="K24" i="34" s="1"/>
  <c r="K60" i="34"/>
  <c r="J7" i="34"/>
  <c r="J12" i="34" s="1"/>
  <c r="J53" i="34"/>
  <c r="J31" i="21"/>
  <c r="M22" i="21"/>
  <c r="M23" i="21" s="1"/>
  <c r="M31" i="21"/>
  <c r="I31" i="21"/>
  <c r="M28" i="21"/>
  <c r="M26" i="21"/>
  <c r="K7" i="21"/>
  <c r="M145" i="1"/>
  <c r="L145" i="1"/>
  <c r="L130" i="1"/>
  <c r="L7" i="21"/>
  <c r="J61" i="48" l="1"/>
  <c r="J66" i="48" s="1"/>
  <c r="J71" i="48" s="1"/>
  <c r="I7" i="48"/>
  <c r="I12" i="48" s="1"/>
  <c r="I7" i="34"/>
  <c r="I12" i="34" s="1"/>
  <c r="I53" i="48"/>
  <c r="I61" i="48" s="1"/>
  <c r="I66" i="48" s="1"/>
  <c r="I71" i="48" s="1"/>
  <c r="I53" i="34"/>
  <c r="I61" i="34" s="1"/>
  <c r="I26" i="21"/>
  <c r="Q85" i="38"/>
  <c r="K5" i="45"/>
  <c r="I28" i="21"/>
  <c r="J5" i="45" s="1"/>
  <c r="J58" i="34"/>
  <c r="J61" i="34" s="1"/>
  <c r="L55" i="48"/>
  <c r="L6" i="48"/>
  <c r="AM10" i="42"/>
  <c r="AM12" i="42" s="1"/>
  <c r="AM13" i="42" s="1"/>
  <c r="AM15" i="42" s="1"/>
  <c r="L55" i="34"/>
  <c r="L6" i="34"/>
  <c r="L10" i="21"/>
  <c r="L25" i="21" s="1"/>
  <c r="K6" i="48"/>
  <c r="K55" i="48"/>
  <c r="J7" i="45"/>
  <c r="AL10" i="42"/>
  <c r="AL12" i="42" s="1"/>
  <c r="AL13" i="42" s="1"/>
  <c r="AL15" i="42" s="1"/>
  <c r="K10" i="21"/>
  <c r="K55" i="34"/>
  <c r="K6" i="34"/>
  <c r="M29" i="21"/>
  <c r="N5" i="45"/>
  <c r="R25" i="45" s="1"/>
  <c r="R26" i="45" s="1"/>
  <c r="N7" i="45"/>
  <c r="O7" i="45" s="1"/>
  <c r="P7" i="45" s="1"/>
  <c r="Q7" i="45" s="1"/>
  <c r="R7" i="45" s="1"/>
  <c r="S7" i="45" s="1"/>
  <c r="T7" i="45" s="1"/>
  <c r="U7" i="45" s="1"/>
  <c r="V7" i="45" s="1"/>
  <c r="W7" i="45" s="1"/>
  <c r="X7" i="45" s="1"/>
  <c r="K7" i="45"/>
  <c r="I32" i="21"/>
  <c r="M32" i="21"/>
  <c r="J32" i="21"/>
  <c r="L20" i="21" l="1"/>
  <c r="L22" i="21" s="1"/>
  <c r="L23" i="21" s="1"/>
  <c r="I29" i="21"/>
  <c r="K17" i="45"/>
  <c r="O5" i="45"/>
  <c r="P5" i="45" s="1"/>
  <c r="Q5" i="45" s="1"/>
  <c r="R5" i="45" s="1"/>
  <c r="S5" i="45" s="1"/>
  <c r="T5" i="45" s="1"/>
  <c r="U5" i="45" s="1"/>
  <c r="V5" i="45" s="1"/>
  <c r="W5" i="45" s="1"/>
  <c r="X5" i="45" s="1"/>
  <c r="L28" i="21"/>
  <c r="L29" i="21" s="1"/>
  <c r="T85" i="38"/>
  <c r="K6" i="45"/>
  <c r="K9" i="45" s="1"/>
  <c r="K58" i="34"/>
  <c r="L58" i="34" s="1"/>
  <c r="M58" i="34" s="1"/>
  <c r="M61" i="34" s="1"/>
  <c r="L7" i="34"/>
  <c r="L12" i="34" s="1"/>
  <c r="L7" i="48"/>
  <c r="L12" i="48" s="1"/>
  <c r="L53" i="34"/>
  <c r="L53" i="48"/>
  <c r="K58" i="48"/>
  <c r="L58" i="48" s="1"/>
  <c r="M58" i="48" s="1"/>
  <c r="M61" i="48" s="1"/>
  <c r="M66" i="48" s="1"/>
  <c r="M71" i="48" s="1"/>
  <c r="I66" i="34"/>
  <c r="I71" i="34" s="1"/>
  <c r="J6" i="45"/>
  <c r="J9" i="45" s="1"/>
  <c r="J66" i="34"/>
  <c r="J71" i="34" s="1"/>
  <c r="K7" i="48"/>
  <c r="K12" i="48" s="1"/>
  <c r="K53" i="48"/>
  <c r="K25" i="21"/>
  <c r="K20" i="21"/>
  <c r="K22" i="21" s="1"/>
  <c r="K23" i="21" s="1"/>
  <c r="K7" i="34"/>
  <c r="K12" i="34" s="1"/>
  <c r="K53" i="34"/>
  <c r="L26" i="21"/>
  <c r="L31" i="21" l="1"/>
  <c r="K8" i="45"/>
  <c r="K11" i="45"/>
  <c r="K28" i="21"/>
  <c r="L5" i="45" s="1"/>
  <c r="L17" i="45" s="1"/>
  <c r="S85" i="38"/>
  <c r="M5" i="45"/>
  <c r="O16" i="45" s="1"/>
  <c r="J11" i="45"/>
  <c r="K22" i="45"/>
  <c r="L61" i="34"/>
  <c r="L66" i="34" s="1"/>
  <c r="L71" i="34" s="1"/>
  <c r="K61" i="34"/>
  <c r="L6" i="45" s="1"/>
  <c r="K61" i="48"/>
  <c r="K66" i="48" s="1"/>
  <c r="K71" i="48" s="1"/>
  <c r="L61" i="48"/>
  <c r="L66" i="48" s="1"/>
  <c r="L71" i="48" s="1"/>
  <c r="K26" i="21"/>
  <c r="M66" i="34"/>
  <c r="M71" i="34" s="1"/>
  <c r="K31" i="21"/>
  <c r="M10" i="39"/>
  <c r="M30" i="39" s="1"/>
  <c r="M36" i="39" s="1"/>
  <c r="M39" i="39" s="1"/>
  <c r="M7" i="45" l="1"/>
  <c r="L32" i="21"/>
  <c r="K14" i="45"/>
  <c r="K12" i="45"/>
  <c r="N17" i="45"/>
  <c r="P10" i="38"/>
  <c r="I8" i="45"/>
  <c r="I9" i="45" s="1"/>
  <c r="P36" i="39"/>
  <c r="M17" i="45"/>
  <c r="K29" i="21"/>
  <c r="J12" i="45"/>
  <c r="J14" i="45"/>
  <c r="K18" i="45"/>
  <c r="N6" i="45"/>
  <c r="O6" i="45" s="1"/>
  <c r="K66" i="34"/>
  <c r="K71" i="34" s="1"/>
  <c r="M6" i="45"/>
  <c r="L7" i="45"/>
  <c r="L9" i="45" s="1"/>
  <c r="L8" i="45" s="1"/>
  <c r="K32" i="21"/>
  <c r="M11" i="39"/>
  <c r="M49" i="39" s="1"/>
  <c r="P49" i="39" s="1"/>
  <c r="M9" i="45" l="1"/>
  <c r="M22" i="45" s="1"/>
  <c r="I11" i="45"/>
  <c r="J8" i="45"/>
  <c r="J22" i="45"/>
  <c r="N9" i="45"/>
  <c r="L11" i="45"/>
  <c r="L22" i="45"/>
  <c r="P6" i="45"/>
  <c r="M11" i="45" l="1"/>
  <c r="M12" i="45" s="1"/>
  <c r="N8" i="45"/>
  <c r="AH11" i="45" s="1"/>
  <c r="AH10" i="45" s="1"/>
  <c r="AJ10" i="45" s="1"/>
  <c r="O12" i="45" s="1"/>
  <c r="M8" i="45"/>
  <c r="I14" i="45"/>
  <c r="I12" i="45"/>
  <c r="J18" i="45"/>
  <c r="N22" i="45"/>
  <c r="N11" i="45"/>
  <c r="L14" i="45"/>
  <c r="L18" i="45"/>
  <c r="L12" i="45"/>
  <c r="Q6" i="45"/>
  <c r="P21" i="39"/>
  <c r="M18" i="45" l="1"/>
  <c r="N15" i="45"/>
  <c r="N16" i="45" s="1"/>
  <c r="M14" i="45"/>
  <c r="N18" i="45"/>
  <c r="O19" i="38"/>
  <c r="U19" i="38"/>
  <c r="S19" i="38"/>
  <c r="T19" i="38"/>
  <c r="Q19" i="38"/>
  <c r="R19" i="38"/>
  <c r="P19" i="38"/>
  <c r="N12" i="45"/>
  <c r="N14" i="45"/>
  <c r="AK10" i="45"/>
  <c r="AL10" i="45" s="1"/>
  <c r="AM10" i="45" s="1"/>
  <c r="AN10" i="45" s="1"/>
  <c r="AO10" i="45" s="1"/>
  <c r="AP10" i="45" s="1"/>
  <c r="AQ10" i="45" s="1"/>
  <c r="AR10" i="45" s="1"/>
  <c r="AS10" i="45" s="1"/>
  <c r="X12" i="45" s="1"/>
  <c r="O9" i="45"/>
  <c r="O8" i="45" s="1"/>
  <c r="R6" i="45"/>
  <c r="P30" i="39"/>
  <c r="P27" i="38"/>
  <c r="P42" i="38" s="1" a="1"/>
  <c r="P42" i="38" s="1"/>
  <c r="R27" i="45" l="1"/>
  <c r="S27" i="45" s="1"/>
  <c r="J16" i="45"/>
  <c r="P9" i="45"/>
  <c r="Q9" i="45" s="1"/>
  <c r="P12" i="45"/>
  <c r="S6" i="45"/>
  <c r="T6" i="45" s="1"/>
  <c r="U6" i="45" s="1"/>
  <c r="V6" i="45" s="1"/>
  <c r="W6" i="45" s="1"/>
  <c r="X6" i="45" s="1"/>
  <c r="U27" i="38"/>
  <c r="U42" i="38" s="1" a="1"/>
  <c r="U42" i="38" s="1"/>
  <c r="S27" i="38"/>
  <c r="T27" i="38"/>
  <c r="R27" i="38"/>
  <c r="Q27" i="38"/>
  <c r="P8" i="45" l="1"/>
  <c r="T12" i="45"/>
  <c r="Q12" i="45"/>
  <c r="R9" i="45"/>
  <c r="Q8" i="45"/>
  <c r="R42" i="38" a="1"/>
  <c r="R42" i="38" s="1"/>
  <c r="T42" i="38" a="1"/>
  <c r="T42" i="38" s="1"/>
  <c r="S42" i="38" a="1"/>
  <c r="S42" i="38" s="1"/>
  <c r="Q42" i="38" a="1"/>
  <c r="Q42" i="38" s="1"/>
  <c r="U12" i="45" l="1"/>
  <c r="S12" i="45"/>
  <c r="R12" i="45"/>
  <c r="S9" i="45"/>
  <c r="T9" i="45" s="1"/>
  <c r="R8" i="45"/>
  <c r="I77" i="34"/>
  <c r="V12" i="45" l="1"/>
  <c r="U9" i="45"/>
  <c r="T8" i="45"/>
  <c r="S8" i="45"/>
  <c r="J77" i="34"/>
  <c r="W12" i="45" l="1"/>
  <c r="U8" i="45"/>
  <c r="V9" i="45"/>
  <c r="K77" i="34"/>
  <c r="V8" i="45" l="1"/>
  <c r="W9" i="45"/>
  <c r="L77" i="34"/>
  <c r="X9" i="45" l="1"/>
  <c r="W8" i="45"/>
  <c r="M77" i="34"/>
  <c r="X8" i="45" l="1"/>
  <c r="O11" i="45" l="1"/>
  <c r="P11" i="45" l="1"/>
  <c r="O14" i="45"/>
  <c r="P16" i="45" l="1"/>
  <c r="P14" i="45"/>
  <c r="Q11" i="45"/>
  <c r="Q16" i="45" l="1"/>
  <c r="R11" i="45"/>
  <c r="R16" i="45" s="1"/>
  <c r="Q14" i="45"/>
  <c r="S11" i="45" l="1"/>
  <c r="S14" i="45" s="1"/>
  <c r="R14" i="45"/>
  <c r="T11" i="45" l="1"/>
  <c r="U11" i="45" s="1"/>
  <c r="S16" i="45"/>
  <c r="T14" i="45" l="1"/>
  <c r="V11" i="45"/>
  <c r="U14" i="45"/>
  <c r="W11" i="45" l="1"/>
  <c r="V14" i="45"/>
  <c r="W14" i="45" l="1"/>
  <c r="X11" i="45"/>
  <c r="Z25" i="45" l="1"/>
  <c r="Y12" i="45"/>
  <c r="Y14" i="45" s="1"/>
  <c r="Z24" i="45"/>
  <c r="AA14" i="45" s="1"/>
  <c r="X14" i="45"/>
  <c r="I16" i="45" l="1"/>
  <c r="E16" i="45" s="1"/>
  <c r="H16" i="45" l="1"/>
  <c r="P21" i="38" l="1"/>
  <c r="P31" i="38" l="1"/>
  <c r="P40" i="38"/>
  <c r="P30" i="38"/>
  <c r="H83" i="48" l="1"/>
  <c r="P32" i="38"/>
  <c r="P9" i="38" s="1"/>
  <c r="P43" i="38"/>
  <c r="H83" i="34"/>
  <c r="H35" i="21" l="1"/>
  <c r="H39" i="21" s="1"/>
  <c r="P6" i="38"/>
  <c r="Q21" i="38"/>
  <c r="Q20" i="38"/>
  <c r="P7" i="38" l="1"/>
  <c r="P8" i="38" s="1"/>
  <c r="P11" i="38" s="1"/>
  <c r="P72" i="38" s="1"/>
  <c r="Q30" i="38"/>
  <c r="Q22" i="38"/>
  <c r="Q31" i="38"/>
  <c r="Q40" i="38"/>
  <c r="H41" i="21"/>
  <c r="H43" i="21" s="1"/>
  <c r="P75" i="38" l="1"/>
  <c r="N11" i="38" s="1"/>
  <c r="P76" i="38"/>
  <c r="P52" i="38"/>
  <c r="P68" i="38"/>
  <c r="P67" i="38" s="1"/>
  <c r="P47" i="38" s="1"/>
  <c r="R20" i="38"/>
  <c r="R21" i="38"/>
  <c r="I83" i="34"/>
  <c r="I85" i="34" s="1"/>
  <c r="Q32" i="38"/>
  <c r="Q9" i="38" s="1"/>
  <c r="Q43" i="38"/>
  <c r="I83" i="48"/>
  <c r="I85" i="48" s="1"/>
  <c r="H84" i="34" l="1"/>
  <c r="H85" i="34" s="1"/>
  <c r="H84" i="48"/>
  <c r="H85" i="48" s="1"/>
  <c r="P80" i="38"/>
  <c r="H75" i="48"/>
  <c r="H78" i="48" s="1"/>
  <c r="H75" i="34"/>
  <c r="H78" i="34" s="1"/>
  <c r="P50" i="38"/>
  <c r="I35" i="21"/>
  <c r="I39" i="21" s="1"/>
  <c r="Q6" i="38"/>
  <c r="P53" i="38"/>
  <c r="R30" i="38"/>
  <c r="R22" i="38"/>
  <c r="R40" i="38"/>
  <c r="R31" i="38"/>
  <c r="P54" i="38" l="1"/>
  <c r="P79" i="38" s="1"/>
  <c r="P82" i="38"/>
  <c r="P63" i="38" s="1"/>
  <c r="P62" i="38" s="1"/>
  <c r="H17" i="45"/>
  <c r="E17" i="45" s="1"/>
  <c r="E23" i="45" s="1"/>
  <c r="E24" i="45" s="1"/>
  <c r="E30" i="45" s="1"/>
  <c r="P86" i="38"/>
  <c r="Q7" i="38"/>
  <c r="Q8" i="38"/>
  <c r="Q11" i="38" s="1"/>
  <c r="Q72" i="38" s="1"/>
  <c r="Q75" i="38" s="1"/>
  <c r="Q76" i="38" s="1"/>
  <c r="J83" i="34"/>
  <c r="J85" i="34" s="1"/>
  <c r="R32" i="38"/>
  <c r="R9" i="38" s="1"/>
  <c r="R43" i="38"/>
  <c r="J83" i="48"/>
  <c r="J85" i="48" s="1"/>
  <c r="S20" i="38"/>
  <c r="S21" i="38"/>
  <c r="H79" i="48"/>
  <c r="H80" i="48" s="1"/>
  <c r="H86" i="48" s="1"/>
  <c r="H79" i="34"/>
  <c r="H80" i="34" s="1"/>
  <c r="H86" i="34" s="1"/>
  <c r="I41" i="21"/>
  <c r="I43" i="21" s="1"/>
  <c r="I84" i="48" l="1"/>
  <c r="I84" i="34"/>
  <c r="Q80" i="38"/>
  <c r="H88" i="34"/>
  <c r="H89" i="34" s="1"/>
  <c r="H87" i="34"/>
  <c r="R6" i="38"/>
  <c r="J35" i="21"/>
  <c r="J39" i="21" s="1"/>
  <c r="Q68" i="38"/>
  <c r="Q10" i="38" s="1"/>
  <c r="Q52" i="38"/>
  <c r="S22" i="38"/>
  <c r="S31" i="38"/>
  <c r="S40" i="38"/>
  <c r="S30" i="38"/>
  <c r="R7" i="38" l="1"/>
  <c r="R8" i="38"/>
  <c r="R11" i="38" s="1"/>
  <c r="R72" i="38" s="1"/>
  <c r="R75" i="38" s="1"/>
  <c r="R76" i="38" s="1"/>
  <c r="Q82" i="38"/>
  <c r="Q63" i="38" s="1"/>
  <c r="Q62" i="38" s="1"/>
  <c r="Q86" i="38"/>
  <c r="Q67" i="38"/>
  <c r="Q47" i="38" s="1"/>
  <c r="I75" i="34" s="1"/>
  <c r="I78" i="34" s="1"/>
  <c r="J41" i="21"/>
  <c r="J43" i="21" s="1"/>
  <c r="K83" i="48"/>
  <c r="K85" i="48" s="1"/>
  <c r="K83" i="34"/>
  <c r="K85" i="34" s="1"/>
  <c r="S32" i="38"/>
  <c r="S9" i="38" s="1"/>
  <c r="S43" i="38"/>
  <c r="T21" i="38"/>
  <c r="T20" i="38"/>
  <c r="Q53" i="38"/>
  <c r="I75" i="48" l="1"/>
  <c r="I78" i="48" s="1"/>
  <c r="Q50" i="38"/>
  <c r="Q54" i="38" s="1"/>
  <c r="Q79" i="38" s="1"/>
  <c r="J84" i="48"/>
  <c r="J84" i="34"/>
  <c r="R80" i="38"/>
  <c r="R68" i="38"/>
  <c r="R10" i="38" s="1"/>
  <c r="T22" i="38"/>
  <c r="T31" i="38"/>
  <c r="T40" i="38"/>
  <c r="T30" i="38"/>
  <c r="R52" i="38"/>
  <c r="I79" i="34"/>
  <c r="I80" i="34" s="1"/>
  <c r="I86" i="34" s="1"/>
  <c r="I79" i="48"/>
  <c r="K35" i="21"/>
  <c r="K39" i="21" s="1"/>
  <c r="S6" i="38"/>
  <c r="I80" i="48" l="1"/>
  <c r="I86" i="48" s="1"/>
  <c r="R82" i="38"/>
  <c r="R63" i="38" s="1"/>
  <c r="R62" i="38" s="1"/>
  <c r="R86" i="38"/>
  <c r="S7" i="38"/>
  <c r="S8" i="38"/>
  <c r="S11" i="38" s="1"/>
  <c r="S72" i="38" s="1"/>
  <c r="S75" i="38" s="1"/>
  <c r="S76" i="38" s="1"/>
  <c r="I88" i="34"/>
  <c r="I89" i="34" s="1"/>
  <c r="I87" i="34"/>
  <c r="U21" i="38"/>
  <c r="U20" i="38"/>
  <c r="K41" i="21"/>
  <c r="K43" i="21" s="1"/>
  <c r="S52" i="38" s="1"/>
  <c r="R53" i="38"/>
  <c r="L83" i="48"/>
  <c r="L85" i="48" s="1"/>
  <c r="L83" i="34"/>
  <c r="L85" i="34" s="1"/>
  <c r="T43" i="38"/>
  <c r="T32" i="38"/>
  <c r="T9" i="38" s="1"/>
  <c r="R67" i="38"/>
  <c r="R47" i="38" s="1"/>
  <c r="K84" i="34" l="1"/>
  <c r="K84" i="48"/>
  <c r="S80" i="38"/>
  <c r="J79" i="34"/>
  <c r="J79" i="48"/>
  <c r="S53" i="38"/>
  <c r="U30" i="38"/>
  <c r="U22" i="38"/>
  <c r="U31" i="38"/>
  <c r="U40" i="38"/>
  <c r="L35" i="21"/>
  <c r="L39" i="21" s="1"/>
  <c r="T6" i="38"/>
  <c r="J75" i="34"/>
  <c r="J78" i="34" s="1"/>
  <c r="R50" i="38"/>
  <c r="R54" i="38" s="1"/>
  <c r="R79" i="38" s="1"/>
  <c r="J75" i="48"/>
  <c r="J78" i="48" s="1"/>
  <c r="J80" i="48" s="1"/>
  <c r="J86" i="48" s="1"/>
  <c r="S68" i="38"/>
  <c r="S10" i="38" s="1"/>
  <c r="J80" i="34" l="1"/>
  <c r="J86" i="34" s="1"/>
  <c r="J88" i="34" s="1"/>
  <c r="J89" i="34" s="1"/>
  <c r="T7" i="38"/>
  <c r="T8" i="38"/>
  <c r="T11" i="38" s="1"/>
  <c r="T72" i="38" s="1"/>
  <c r="T75" i="38" s="1"/>
  <c r="T76" i="38" s="1"/>
  <c r="S86" i="38"/>
  <c r="S82" i="38"/>
  <c r="S63" i="38" s="1"/>
  <c r="S62" i="38" s="1"/>
  <c r="S67" i="38"/>
  <c r="S47" i="38" s="1"/>
  <c r="L41" i="21"/>
  <c r="L43" i="21" s="1"/>
  <c r="M83" i="34"/>
  <c r="M85" i="34" s="1"/>
  <c r="U32" i="38"/>
  <c r="U9" i="38" s="1"/>
  <c r="U43" i="38"/>
  <c r="M83" i="48"/>
  <c r="M85" i="48" s="1"/>
  <c r="J87" i="34"/>
  <c r="K79" i="48"/>
  <c r="K79" i="34"/>
  <c r="L84" i="34" l="1"/>
  <c r="L84" i="48"/>
  <c r="T80" i="38"/>
  <c r="T68" i="38"/>
  <c r="T10" i="38" s="1"/>
  <c r="T52" i="38"/>
  <c r="M35" i="21"/>
  <c r="M39" i="21" s="1"/>
  <c r="U6" i="38"/>
  <c r="K75" i="48"/>
  <c r="K78" i="48" s="1"/>
  <c r="K80" i="48" s="1"/>
  <c r="K86" i="48" s="1"/>
  <c r="K75" i="34"/>
  <c r="K78" i="34" s="1"/>
  <c r="K80" i="34" s="1"/>
  <c r="K86" i="34" s="1"/>
  <c r="S50" i="38"/>
  <c r="S54" i="38" s="1"/>
  <c r="S79" i="38" s="1"/>
  <c r="T82" i="38" l="1"/>
  <c r="T63" i="38" s="1"/>
  <c r="T62" i="38" s="1"/>
  <c r="T86" i="38"/>
  <c r="U7" i="38"/>
  <c r="U8" i="38"/>
  <c r="U11" i="38" s="1"/>
  <c r="U72" i="38" s="1"/>
  <c r="U75" i="38" s="1"/>
  <c r="U76" i="38" s="1"/>
  <c r="M41" i="21"/>
  <c r="M43" i="21" s="1"/>
  <c r="T53" i="38"/>
  <c r="K88" i="34"/>
  <c r="K89" i="34" s="1"/>
  <c r="K87" i="34"/>
  <c r="T67" i="38"/>
  <c r="T47" i="38" s="1"/>
  <c r="M84" i="48" l="1"/>
  <c r="M84" i="34"/>
  <c r="U80" i="38"/>
  <c r="U68" i="38"/>
  <c r="U10" i="38" s="1"/>
  <c r="U52" i="38"/>
  <c r="U53" i="38" s="1"/>
  <c r="L79" i="48"/>
  <c r="L79" i="34"/>
  <c r="L75" i="48"/>
  <c r="L78" i="48" s="1"/>
  <c r="L80" i="48" s="1"/>
  <c r="L86" i="48" s="1"/>
  <c r="L75" i="34"/>
  <c r="L78" i="34" s="1"/>
  <c r="T50" i="38"/>
  <c r="T54" i="38" s="1"/>
  <c r="T79" i="38" s="1"/>
  <c r="U82" i="38" l="1"/>
  <c r="U63" i="38" s="1"/>
  <c r="U62" i="38" s="1"/>
  <c r="U86" i="38"/>
  <c r="L80" i="34"/>
  <c r="L86" i="34" s="1"/>
  <c r="L88" i="34" s="1"/>
  <c r="L89" i="34" s="1"/>
  <c r="U67" i="38"/>
  <c r="U47" i="38" s="1"/>
  <c r="M75" i="34" s="1"/>
  <c r="M78" i="34" s="1"/>
  <c r="M79" i="34"/>
  <c r="M79" i="48"/>
  <c r="L87" i="34" l="1"/>
  <c r="M80" i="34"/>
  <c r="M86" i="34" s="1"/>
  <c r="M87" i="34" s="1"/>
  <c r="M75" i="48"/>
  <c r="M78" i="48" s="1"/>
  <c r="M80" i="48" s="1"/>
  <c r="M86" i="48" s="1"/>
  <c r="U50" i="38"/>
  <c r="U54" i="38" s="1"/>
  <c r="U79" i="38" s="1"/>
  <c r="M88" i="34" l="1"/>
  <c r="M89" i="34" s="1"/>
  <c r="O10" i="45"/>
  <c r="P10" i="45"/>
  <c r="Q10" i="45"/>
  <c r="R10" i="45"/>
  <c r="S10" i="45"/>
  <c r="T10" i="45"/>
  <c r="U10" i="45"/>
  <c r="V10" i="45"/>
  <c r="W10" i="45"/>
  <c r="X10" i="45"/>
  <c r="P21" i="45"/>
  <c r="Q21" i="45"/>
  <c r="R21" i="45"/>
  <c r="S21" i="45"/>
  <c r="T21" i="45"/>
  <c r="U21" i="45"/>
  <c r="V21" i="45"/>
  <c r="W21" i="45"/>
  <c r="X21" i="4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10" authorId="0" shapeId="0" xr:uid="{428FF6B6-2FE7-8942-A196-932F82F52FB5}">
      <text>
        <r>
          <rPr>
            <b/>
            <sz val="10"/>
            <color rgb="FF000000"/>
            <rFont val="Tahoma"/>
            <family val="2"/>
          </rPr>
          <t>Microsoft Office User:</t>
        </r>
        <r>
          <rPr>
            <sz val="10"/>
            <color rgb="FF000000"/>
            <rFont val="Tahoma"/>
            <family val="2"/>
          </rPr>
          <t xml:space="preserve">
</t>
        </r>
        <r>
          <rPr>
            <sz val="10"/>
            <color rgb="FF000000"/>
            <rFont val="Tahoma"/>
            <family val="2"/>
          </rPr>
          <t>Latam june 2022 updated business plan</t>
        </r>
      </text>
    </comment>
    <comment ref="G52" authorId="0" shapeId="0" xr:uid="{5A0F21A0-A30E-B64E-AE29-22F7FBF2239A}">
      <text>
        <r>
          <rPr>
            <b/>
            <sz val="10"/>
            <color rgb="FF000000"/>
            <rFont val="Tahoma"/>
            <family val="2"/>
          </rPr>
          <t>Microsoft Office User:</t>
        </r>
        <r>
          <rPr>
            <sz val="10"/>
            <color rgb="FF000000"/>
            <rFont val="Tahoma"/>
            <family val="2"/>
          </rPr>
          <t xml:space="preserve">
</t>
        </r>
        <r>
          <rPr>
            <b/>
            <sz val="10"/>
            <color rgb="FF000000"/>
            <rFont val="Tahoma"/>
            <family val="2"/>
          </rPr>
          <t xml:space="preserve">Statista: </t>
        </r>
        <r>
          <rPr>
            <sz val="10"/>
            <color rgb="FF000000"/>
            <rFont val="Tahoma"/>
            <family val="2"/>
          </rPr>
          <t>https://www.statista.com/statistics/263615/gross-domestic-product-gdp-growth-rate-in-brazil/</t>
        </r>
      </text>
    </comment>
    <comment ref="C53" authorId="0" shapeId="0" xr:uid="{AB3422BE-D024-D64D-BA52-7F7DF16CEFA4}">
      <text>
        <r>
          <rPr>
            <b/>
            <sz val="10"/>
            <color rgb="FF000000"/>
            <rFont val="Tahoma"/>
            <family val="2"/>
          </rPr>
          <t>Microsoft Office User:</t>
        </r>
        <r>
          <rPr>
            <sz val="10"/>
            <color rgb="FF000000"/>
            <rFont val="Tahoma"/>
            <family val="2"/>
          </rPr>
          <t xml:space="preserve">
</t>
        </r>
        <r>
          <rPr>
            <sz val="10"/>
            <color rgb="FF000000"/>
            <rFont val="Tahoma"/>
            <family val="2"/>
          </rPr>
          <t>Latam june 2022 updated business plan</t>
        </r>
      </text>
    </comment>
    <comment ref="C80" authorId="0" shapeId="0" xr:uid="{F4DFA0CD-A13B-6B41-B5F7-3C227E666214}">
      <text>
        <r>
          <rPr>
            <b/>
            <sz val="10"/>
            <color rgb="FF000000"/>
            <rFont val="Tahoma"/>
            <family val="2"/>
          </rPr>
          <t>Microsoft Office User:</t>
        </r>
        <r>
          <rPr>
            <sz val="10"/>
            <color rgb="FF000000"/>
            <rFont val="Tahoma"/>
            <family val="2"/>
          </rPr>
          <t xml:space="preserve">
</t>
        </r>
        <r>
          <rPr>
            <sz val="10"/>
            <color rgb="FF000000"/>
            <rFont val="Tahoma"/>
            <family val="2"/>
          </rPr>
          <t xml:space="preserve">Forecast Inflation: </t>
        </r>
        <r>
          <rPr>
            <b/>
            <sz val="10"/>
            <color rgb="FF000000"/>
            <rFont val="Tahoma"/>
            <family val="2"/>
          </rPr>
          <t xml:space="preserve">Statista
</t>
        </r>
        <r>
          <rPr>
            <sz val="10"/>
            <color rgb="FF000000"/>
            <rFont val="Tahoma"/>
            <family val="2"/>
          </rPr>
          <t>https://www.statista.com/statistics/244983/projected-inflation-rate-in-the-united-states/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6" authorId="0" shapeId="0" xr:uid="{5D4ACBE5-F38E-D94D-ACFD-A2F91624233F}">
      <text>
        <r>
          <rPr>
            <b/>
            <sz val="10"/>
            <color rgb="FF000000"/>
            <rFont val="Tahoma"/>
            <family val="2"/>
          </rPr>
          <t>Microsoft Office User:</t>
        </r>
        <r>
          <rPr>
            <sz val="10"/>
            <color rgb="FF000000"/>
            <rFont val="Tahoma"/>
            <family val="2"/>
          </rPr>
          <t xml:space="preserve">
</t>
        </r>
        <r>
          <rPr>
            <sz val="10"/>
            <color rgb="FF000000"/>
            <rFont val="Tahoma"/>
            <family val="2"/>
          </rPr>
          <t>Se si riuscisse a capire cosa fosse dalla nota integrativa....</t>
        </r>
      </text>
    </comment>
    <comment ref="B10" authorId="0" shapeId="0" xr:uid="{2FB5D3DE-54D7-3543-8870-2DB4F151F651}">
      <text>
        <r>
          <rPr>
            <b/>
            <sz val="10"/>
            <color rgb="FF000000"/>
            <rFont val="Tahoma"/>
            <family val="2"/>
          </rPr>
          <t xml:space="preserve">Microsoft Office User:
</t>
        </r>
        <r>
          <rPr>
            <sz val="10"/>
            <color rgb="FF000000"/>
            <rFont val="Tahoma"/>
            <family val="2"/>
          </rPr>
          <t>Reducing headcouunt by 27% from 42000 FTSE in 2019 to 30600 in june 2022</t>
        </r>
      </text>
    </comment>
    <comment ref="H10" authorId="0" shapeId="0" xr:uid="{067B052E-8AC1-F74A-9623-71C772407011}">
      <text>
        <r>
          <rPr>
            <b/>
            <sz val="10"/>
            <color rgb="FF000000"/>
            <rFont val="Tahoma"/>
            <family val="2"/>
          </rPr>
          <t>Microsoft Office User:</t>
        </r>
        <r>
          <rPr>
            <sz val="10"/>
            <color rgb="FF000000"/>
            <rFont val="Tahoma"/>
            <family val="2"/>
          </rPr>
          <t xml:space="preserve">
</t>
        </r>
        <r>
          <rPr>
            <sz val="10"/>
            <color rgb="FF000000"/>
            <rFont val="Tahoma"/>
            <family val="2"/>
          </rPr>
          <t xml:space="preserve">Da Updated BP, viene dichiato un -27% rispetto al 2019. Abbiamo applicato questp e poi si muove come i volumi di vendita. 
</t>
        </r>
        <r>
          <rPr>
            <sz val="10"/>
            <color rgb="FF000000"/>
            <rFont val="Tahoma"/>
            <family val="2"/>
          </rPr>
          <t>Es 2023: Volume 2023/Volume 2022 *spese 2022 2% di inflazione annuale</t>
        </r>
      </text>
    </comment>
    <comment ref="B11" authorId="0" shapeId="0" xr:uid="{C7552CEC-44E2-BA4D-9544-328724F2EF3C}">
      <text>
        <r>
          <rPr>
            <b/>
            <sz val="10"/>
            <color rgb="FF000000"/>
            <rFont val="Tahoma"/>
            <family val="2"/>
          </rPr>
          <t>Microsoft Office User:</t>
        </r>
        <r>
          <rPr>
            <sz val="10"/>
            <color rgb="FF000000"/>
            <rFont val="Tahoma"/>
            <family val="2"/>
          </rPr>
          <t xml:space="preserve">
</t>
        </r>
        <r>
          <rPr>
            <sz val="10"/>
            <color rgb="FF000000"/>
            <rFont val="Tahoma"/>
            <family val="2"/>
          </rPr>
          <t xml:space="preserve">Non c'erano notizie di fuel savings dato che usa i nuovi aerei?
</t>
        </r>
        <r>
          <rPr>
            <sz val="10"/>
            <color rgb="FF000000"/>
            <rFont val="Tahoma"/>
            <family val="2"/>
          </rPr>
          <t xml:space="preserve">
</t>
        </r>
        <r>
          <rPr>
            <sz val="10"/>
            <color rgb="FF000000"/>
            <rFont val="Tahoma"/>
            <family val="2"/>
          </rPr>
          <t xml:space="preserve">
</t>
        </r>
        <r>
          <rPr>
            <sz val="10"/>
            <color rgb="FF000000"/>
            <rFont val="Tahoma"/>
            <family val="2"/>
          </rPr>
          <t xml:space="preserve">
</t>
        </r>
        <r>
          <rPr>
            <sz val="10"/>
            <color rgb="FF000000"/>
            <rFont val="Calibri"/>
            <family val="2"/>
          </rPr>
          <t>From 2012 to 2021, the group increased aviation fuel efficiency by 5.3% through the program. In 2020, the results were impacted by some pandemic procedures, such as increased use of the auxiliary engine (APU) on land and use of air conditioning throughout the landing to renew the cabin air. In 2021, gross savings totaled 8,314,052 gallons (1,090 TJ of energy), equivalent to US$24.5 million. The work has a positive impact on reducing the carbon footprint and also on reducing costs. 3</t>
        </r>
      </text>
    </comment>
    <comment ref="H11" authorId="0" shapeId="0" xr:uid="{7709783B-3FEB-364A-A1FE-123037777789}">
      <text>
        <r>
          <rPr>
            <b/>
            <sz val="10"/>
            <color rgb="FF000000"/>
            <rFont val="Tahoma"/>
            <family val="2"/>
          </rPr>
          <t>Microsoft Office User:</t>
        </r>
        <r>
          <rPr>
            <sz val="10"/>
            <color rgb="FF000000"/>
            <rFont val="Tahoma"/>
            <family val="2"/>
          </rPr>
          <t xml:space="preserve">
</t>
        </r>
        <r>
          <rPr>
            <sz val="10"/>
            <color rgb="FF000000"/>
            <rFont val="Tahoma"/>
            <family val="2"/>
          </rPr>
          <t xml:space="preserve">Viene stimato come 
</t>
        </r>
        <r>
          <rPr>
            <sz val="10"/>
            <color rgb="FF000000"/>
            <rFont val="Tahoma"/>
            <family val="2"/>
          </rPr>
          <t>Spese nel 2019*(volume 2021)/(Volume del 2019)*(Prezzi carburante  2021)/Prezzi carburante 2019)</t>
        </r>
      </text>
    </comment>
    <comment ref="H14" authorId="0" shapeId="0" xr:uid="{E91FF668-E652-284C-BAC4-B5C8CD33BA4C}">
      <text>
        <r>
          <rPr>
            <b/>
            <sz val="10"/>
            <color rgb="FF000000"/>
            <rFont val="Tahoma"/>
            <family val="2"/>
          </rPr>
          <t>Microsoft Office User:</t>
        </r>
        <r>
          <rPr>
            <sz val="10"/>
            <color rgb="FF000000"/>
            <rFont val="Tahoma"/>
            <family val="2"/>
          </rPr>
          <t xml:space="preserve">
</t>
        </r>
        <r>
          <rPr>
            <sz val="10"/>
            <color rgb="FF000000"/>
            <rFont val="Tahoma"/>
            <family val="2"/>
          </rPr>
          <t>Come sotto</t>
        </r>
      </text>
    </comment>
    <comment ref="B15" authorId="0" shapeId="0" xr:uid="{E1E2B96B-7A13-BF48-98BD-331EDA5D0416}">
      <text>
        <r>
          <rPr>
            <b/>
            <sz val="10"/>
            <color rgb="FF000000"/>
            <rFont val="Tahoma"/>
            <family val="2"/>
          </rPr>
          <t>Microsoft Office User:</t>
        </r>
        <r>
          <rPr>
            <sz val="10"/>
            <color rgb="FF000000"/>
            <rFont val="Tahoma"/>
            <family val="2"/>
          </rPr>
          <t xml:space="preserve">
</t>
        </r>
        <r>
          <rPr>
            <sz val="10"/>
            <color rgb="FF000000"/>
            <rFont val="Tahoma"/>
            <family val="2"/>
          </rPr>
          <t xml:space="preserve">Latam expects ancillary revenues to go up, clearly that implies that related costs should growth as percentage of passengers??
</t>
        </r>
        <r>
          <rPr>
            <sz val="10"/>
            <color rgb="FF000000"/>
            <rFont val="Tahoma"/>
            <family val="2"/>
          </rPr>
          <t xml:space="preserve">
</t>
        </r>
        <r>
          <rPr>
            <sz val="10"/>
            <color rgb="FF000000"/>
            <rFont val="Tahoma"/>
            <family val="2"/>
          </rPr>
          <t xml:space="preserve">
</t>
        </r>
        <r>
          <rPr>
            <sz val="10"/>
            <color rgb="FF000000"/>
            <rFont val="Tahoma"/>
            <family val="2"/>
          </rPr>
          <t xml:space="preserve">
</t>
        </r>
        <r>
          <rPr>
            <sz val="10"/>
            <color rgb="FF000000"/>
            <rFont val="Tahoma"/>
            <family val="2"/>
          </rPr>
          <t>5%</t>
        </r>
      </text>
    </comment>
    <comment ref="H15" authorId="0" shapeId="0" xr:uid="{6C5C737A-E73E-8B47-BEA7-10A8BD37E1D2}">
      <text>
        <r>
          <rPr>
            <b/>
            <sz val="10"/>
            <color rgb="FF000000"/>
            <rFont val="Tahoma"/>
            <family val="2"/>
          </rPr>
          <t>Microsoft Office User:</t>
        </r>
        <r>
          <rPr>
            <sz val="10"/>
            <color rgb="FF000000"/>
            <rFont val="Tahoma"/>
            <family val="2"/>
          </rPr>
          <t xml:space="preserve">
</t>
        </r>
        <r>
          <rPr>
            <sz val="10"/>
            <color rgb="FF000000"/>
            <rFont val="Tahoma"/>
            <family val="2"/>
          </rPr>
          <t>Come sotto</t>
        </r>
      </text>
    </comment>
    <comment ref="H16" authorId="0" shapeId="0" xr:uid="{7DC99E5A-0A9E-B84E-B5E1-B3AB6F9E814F}">
      <text>
        <r>
          <rPr>
            <b/>
            <sz val="10"/>
            <color rgb="FF000000"/>
            <rFont val="Tahoma"/>
            <family val="2"/>
          </rPr>
          <t>Microsoft Office User:</t>
        </r>
        <r>
          <rPr>
            <sz val="10"/>
            <color rgb="FF000000"/>
            <rFont val="Tahoma"/>
            <family val="2"/>
          </rPr>
          <t xml:space="preserve">
</t>
        </r>
        <r>
          <rPr>
            <sz val="10"/>
            <color rgb="FF000000"/>
            <rFont val="Tahoma"/>
            <family val="2"/>
          </rPr>
          <t>Based on the updated BP june 2022</t>
        </r>
      </text>
    </comment>
    <comment ref="H17" authorId="0" shapeId="0" xr:uid="{35E01E56-E99F-B64C-BB31-396EDC379788}">
      <text>
        <r>
          <rPr>
            <b/>
            <sz val="10"/>
            <color rgb="FF000000"/>
            <rFont val="Tahoma"/>
            <family val="2"/>
          </rPr>
          <t>Microsoft Office User:</t>
        </r>
        <r>
          <rPr>
            <sz val="10"/>
            <color rgb="FF000000"/>
            <rFont val="Tahoma"/>
            <family val="2"/>
          </rPr>
          <t xml:space="preserve">
</t>
        </r>
        <r>
          <rPr>
            <sz val="10"/>
            <color rgb="FF000000"/>
            <rFont val="Tahoma"/>
            <family val="2"/>
          </rPr>
          <t>come sotto</t>
        </r>
      </text>
    </comment>
    <comment ref="H18" authorId="0" shapeId="0" xr:uid="{0FC537EC-0D2D-4743-B71C-7955B9D5832F}">
      <text>
        <r>
          <rPr>
            <b/>
            <sz val="10"/>
            <color rgb="FF000000"/>
            <rFont val="Tahoma"/>
            <family val="2"/>
          </rPr>
          <t>Microsoft Office User:</t>
        </r>
        <r>
          <rPr>
            <sz val="10"/>
            <color rgb="FF000000"/>
            <rFont val="Tahoma"/>
            <family val="2"/>
          </rPr>
          <t xml:space="preserve">
</t>
        </r>
        <r>
          <rPr>
            <sz val="10"/>
            <color rgb="FF000000"/>
            <rFont val="Tahoma"/>
            <family val="2"/>
          </rPr>
          <t xml:space="preserve">Spese del 2019 che si muovono come i volumi di vendita: 
</t>
        </r>
        <r>
          <rPr>
            <sz val="10"/>
            <color rgb="FF000000"/>
            <rFont val="Tahoma"/>
            <family val="2"/>
          </rPr>
          <t>Es spese 2019*(Volume 2022)/(Volume 2019)</t>
        </r>
      </text>
    </comment>
    <comment ref="B19" authorId="0" shapeId="0" xr:uid="{49E73B39-9DEE-6A4C-9197-FC71A5AEAB26}">
      <text>
        <r>
          <rPr>
            <b/>
            <sz val="10"/>
            <color rgb="FF000000"/>
            <rFont val="Tahoma"/>
            <family val="2"/>
          </rPr>
          <t>Microsoft Office User:</t>
        </r>
        <r>
          <rPr>
            <sz val="10"/>
            <color rgb="FF000000"/>
            <rFont val="Tahoma"/>
            <family val="2"/>
          </rPr>
          <t xml:space="preserve">
</t>
        </r>
        <r>
          <rPr>
            <sz val="10"/>
            <color rgb="FF000000"/>
            <rFont val="Tahoma"/>
            <family val="2"/>
          </rPr>
          <t>Considered to reverse to 2019 level by 2027</t>
        </r>
      </text>
    </comment>
    <comment ref="H19" authorId="0" shapeId="0" xr:uid="{0437474C-AEC9-8E45-98FA-86C618D6C99D}">
      <text>
        <r>
          <rPr>
            <b/>
            <sz val="10"/>
            <color rgb="FF000000"/>
            <rFont val="Tahoma"/>
            <family val="2"/>
          </rPr>
          <t>Microsoft Office User:</t>
        </r>
        <r>
          <rPr>
            <sz val="10"/>
            <color rgb="FF000000"/>
            <rFont val="Tahoma"/>
            <family val="2"/>
          </rPr>
          <t xml:space="preserve">
</t>
        </r>
        <r>
          <rPr>
            <sz val="10"/>
            <color rgb="FF000000"/>
            <rFont val="Tahoma"/>
            <family val="2"/>
          </rPr>
          <t>Forecasted as 2% inflation. Are constant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Thomas</author>
  </authors>
  <commentList>
    <comment ref="B6" authorId="0" shapeId="0" xr:uid="{5E1E6593-4DB5-47BE-B21B-3ADD79108698}">
      <text>
        <r>
          <rPr>
            <sz val="9"/>
            <color rgb="FF000000"/>
            <rFont val="Tahoma"/>
            <family val="2"/>
          </rPr>
          <t>They consists mainly on VAT; commissions on sales of deferred revenues</t>
        </r>
      </text>
    </comment>
    <comment ref="B16" authorId="0" shapeId="0" xr:uid="{A6761B64-6FB8-4A7B-AD86-7C58A00460D0}">
      <text>
        <r>
          <rPr>
            <sz val="9"/>
            <color rgb="FF000000"/>
            <rFont val="Tahoma"/>
            <family val="2"/>
          </rPr>
          <t>Until 2020, almost all deferred taxes</t>
        </r>
      </text>
    </comment>
    <comment ref="H21" authorId="0" shapeId="0" xr:uid="{784D36A5-7C1B-4AB1-B62D-A71841708CA3}">
      <text>
        <r>
          <rPr>
            <sz val="9"/>
            <color rgb="FF000000"/>
            <rFont val="Tahoma"/>
            <family val="2"/>
          </rPr>
          <t>They comprehend current and non-current payables</t>
        </r>
      </text>
    </comment>
    <comment ref="B23" authorId="0" shapeId="0" xr:uid="{3AC2947A-A61C-410F-95B4-1A49F45D5F10}">
      <text>
        <r>
          <rPr>
            <b/>
            <sz val="9"/>
            <color indexed="81"/>
            <rFont val="Tahoma"/>
            <family val="2"/>
          </rPr>
          <t>DEFERRED REVENUES</t>
        </r>
      </text>
    </comment>
    <comment ref="H23" authorId="0" shapeId="0" xr:uid="{067FE884-CA76-4A5C-A7AE-598EECB3DD29}">
      <text>
        <r>
          <rPr>
            <b/>
            <sz val="9"/>
            <color rgb="FF000000"/>
            <rFont val="Tahoma"/>
            <family val="2"/>
          </rPr>
          <t xml:space="preserve">Includes current and non-current
</t>
        </r>
      </text>
    </comment>
    <comment ref="H26" authorId="0" shapeId="0" xr:uid="{AC3C1CC8-7C0C-419B-BA64-55C555D8C299}">
      <text>
        <r>
          <rPr>
            <sz val="9"/>
            <color rgb="FF000000"/>
            <rFont val="Tahoma"/>
            <family val="2"/>
          </rPr>
          <t>Included in non-current payables</t>
        </r>
      </text>
    </comment>
    <comment ref="B30" authorId="0" shapeId="0" xr:uid="{8F0C21BF-E361-441C-87F6-8F0A86AF9D81}">
      <text>
        <r>
          <rPr>
            <b/>
            <sz val="9"/>
            <color indexed="81"/>
            <rFont val="Tahoma"/>
            <family val="2"/>
          </rPr>
          <t>DEFERRED REVENUES</t>
        </r>
      </text>
    </comment>
    <comment ref="H30" authorId="0" shapeId="0" xr:uid="{F264A49A-0DD7-4D4E-B2D2-22802309A1FC}">
      <text>
        <r>
          <rPr>
            <b/>
            <sz val="9"/>
            <color rgb="FF000000"/>
            <rFont val="Tahoma"/>
            <family val="2"/>
          </rPr>
          <t>Included in current</t>
        </r>
      </text>
    </comment>
    <comment ref="H56" authorId="0" shapeId="0" xr:uid="{B7DA78CD-A509-4BC8-8CAA-BB147A34ED15}">
      <text>
        <r>
          <rPr>
            <sz val="9"/>
            <color rgb="FF000000"/>
            <rFont val="Tahoma"/>
            <family val="2"/>
          </rPr>
          <t>They comprehend current and non-current payables</t>
        </r>
      </text>
    </comment>
    <comment ref="H60" authorId="0" shapeId="0" xr:uid="{C7A0669F-2F2E-400B-BDBC-9CFA05E3356D}">
      <text>
        <r>
          <rPr>
            <b/>
            <sz val="9"/>
            <color rgb="FF000000"/>
            <rFont val="Tahoma"/>
            <family val="2"/>
          </rPr>
          <t xml:space="preserve">Includes current and non-current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tc={AC9A4CEA-CCE5-3247-A365-7D9FF274C90F}</author>
  </authors>
  <commentList>
    <comment ref="A57" authorId="0" shapeId="0" xr:uid="{AC9A4CEA-CCE5-3247-A365-7D9FF274C90F}">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Brasile market share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tc={53CECD4B-D5B8-9F43-9D55-C2FB7C60059A}</author>
  </authors>
  <commentList>
    <comment ref="A53" authorId="0" shapeId="0" xr:uid="{53CECD4B-D5B8-9F43-9D55-C2FB7C60059A}">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SSC MKT</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tc={F90C8E85-6CF9-1B4A-8C31-A863D8C88E6D}</author>
  </authors>
  <commentList>
    <comment ref="A3" authorId="0" shapeId="0" xr:uid="{F90C8E85-6CF9-1B4A-8C31-A863D8C88E6D}">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Internazionale</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Thomas</author>
  </authors>
  <commentList>
    <comment ref="C29" authorId="0" shapeId="0" xr:uid="{BD9726DC-D9CD-445E-ABC3-95B985972ED9}">
      <text>
        <r>
          <rPr>
            <b/>
            <sz val="9"/>
            <color rgb="FF000000"/>
            <rFont val="Tahoma"/>
            <family val="2"/>
          </rPr>
          <t xml:space="preserve">Source: </t>
        </r>
        <r>
          <rPr>
            <sz val="9"/>
            <color rgb="FF000000"/>
            <rFont val="Tahoma"/>
            <family val="2"/>
          </rPr>
          <t>https://www.businessmarketinsights.com/reports/south-america-air-cargo-market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Thomas</author>
  </authors>
  <commentList>
    <comment ref="G14" authorId="0" shapeId="0" xr:uid="{9531E0E5-03B8-40B4-9726-B4737F6B8321}">
      <text>
        <r>
          <rPr>
            <b/>
            <sz val="9"/>
            <color rgb="FF000000"/>
            <rFont val="Tahoma"/>
            <family val="2"/>
          </rPr>
          <t>Note 1.1 and 1.2</t>
        </r>
      </text>
    </comment>
    <comment ref="J15" authorId="0" shapeId="0" xr:uid="{2D993BF1-8387-4772-ACF5-6DA2DB5ADFD6}">
      <text>
        <r>
          <rPr>
            <b/>
            <sz val="9"/>
            <color rgb="FF000000"/>
            <rFont val="Tahoma"/>
            <family val="2"/>
          </rPr>
          <t>Note 1.2</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M46" authorId="0" shapeId="0" xr:uid="{B3A4FE0F-31FC-834D-819D-88C20B0B2C65}">
      <text>
        <r>
          <rPr>
            <b/>
            <sz val="10"/>
            <color rgb="FF000000"/>
            <rFont val="Tahoma"/>
            <family val="2"/>
          </rPr>
          <t>Microsoft Office User:</t>
        </r>
        <r>
          <rPr>
            <sz val="10"/>
            <color rgb="FF000000"/>
            <rFont val="Tahoma"/>
            <family val="2"/>
          </rPr>
          <t xml:space="preserve">
</t>
        </r>
        <r>
          <rPr>
            <sz val="10"/>
            <color rgb="FF000000"/>
            <rFont val="Tahoma"/>
            <family val="2"/>
          </rPr>
          <t>sottoscritto da tutti tranne che controllate</t>
        </r>
      </text>
    </comment>
    <comment ref="N53" authorId="0" shapeId="0" xr:uid="{7FD31578-A2D5-DD4C-8D43-86247ED7469D}">
      <text>
        <r>
          <rPr>
            <b/>
            <sz val="10"/>
            <color rgb="FF000000"/>
            <rFont val="Tahoma"/>
            <family val="2"/>
          </rPr>
          <t>Microsoft Office User:</t>
        </r>
        <r>
          <rPr>
            <sz val="10"/>
            <color rgb="FF000000"/>
            <rFont val="Tahoma"/>
            <family val="2"/>
          </rPr>
          <t xml:space="preserve">
</t>
        </r>
        <r>
          <rPr>
            <sz val="10"/>
            <color rgb="FF000000"/>
            <rFont val="Tahoma"/>
            <family val="2"/>
          </rPr>
          <t>Dato di Q3 2022</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P5" authorId="0" shapeId="0" xr:uid="{4873F3D6-4BCF-44E8-85B3-681E261E5947}">
      <text>
        <r>
          <rPr>
            <b/>
            <sz val="10"/>
            <color rgb="FF000000"/>
            <rFont val="Tahoma"/>
            <family val="2"/>
          </rPr>
          <t>Microsoft Office User:</t>
        </r>
        <r>
          <rPr>
            <sz val="10"/>
            <color rgb="FF000000"/>
            <rFont val="Tahoma"/>
            <family val="2"/>
          </rPr>
          <t xml:space="preserve">
</t>
        </r>
        <r>
          <rPr>
            <sz val="10"/>
            <color rgb="FF000000"/>
            <rFont val="Calibri"/>
            <family val="2"/>
            <scheme val="minor"/>
          </rPr>
          <t xml:space="preserve">2.5. Intangible assets other than goodwill 
</t>
        </r>
        <r>
          <rPr>
            <sz val="10"/>
            <color rgb="FF000000"/>
            <rFont val="Calibri"/>
            <family val="2"/>
            <scheme val="minor"/>
          </rPr>
          <t xml:space="preserve">
</t>
        </r>
        <r>
          <rPr>
            <sz val="10"/>
            <color rgb="FF000000"/>
            <rFont val="Calibri"/>
            <family val="2"/>
            <scheme val="minor"/>
          </rPr>
          <t xml:space="preserve">(a) Airport slots and Loyalty program Airport slots and the Loyalty program correspond to intangible assets with indefinite useful lives and are annually tested for impairment as an integral part of the CGU Air Transport. Airport Slots correspond to an administrative authorization to carry out operations of arrival and departure of aircraft, at a specific airport, within a certain period of time. The Loyalty program corresponds to the system of accumulation and exchange of points that is part of TAM Linhas Aereas S.A. The airport slots and Loyalty program were recognized at fair value under IFRS 3, as a consequence of the business combination with TAM S.A. and Subsidiaries.
</t>
        </r>
        <r>
          <rPr>
            <sz val="10"/>
            <color rgb="FF000000"/>
            <rFont val="Calibri"/>
            <family val="2"/>
            <scheme val="minor"/>
          </rPr>
          <t xml:space="preserve">
</t>
        </r>
        <r>
          <rPr>
            <sz val="10"/>
            <color rgb="FF000000"/>
            <rFont val="Calibri"/>
            <family val="2"/>
            <scheme val="minor"/>
          </rPr>
          <t xml:space="preserve"> (b) Computer software Licenses for computer software acquired are capitalized on the basis of the costs incurred in acquiring them and preparing them for using the specific software. These costs are amortized over their estimated useful lives, for which the Company has been defined useful lives between 3 and 10 years. Expenses related to the development or maintenance of computer software which do not qualify for capitalization, are shown as an expense when incurred. The personnel costs and others cost directly related to the production of unique and identifiable computer software controlled by the Company, are shown as intangible Assets others than Goodwill when they have met all the criteria for capitalization. 
</t>
        </r>
        <r>
          <rPr>
            <sz val="10"/>
            <color rgb="FF000000"/>
            <rFont val="Calibri"/>
            <family val="2"/>
            <scheme val="minor"/>
          </rPr>
          <t xml:space="preserve">
</t>
        </r>
        <r>
          <rPr>
            <sz val="10"/>
            <color rgb="FF000000"/>
            <rFont val="Calibri"/>
            <family val="2"/>
            <scheme val="minor"/>
          </rPr>
          <t>(c) Brands The Brands were acquired in the business combination with TAM S.A. and Subsidiaries and, recognized at fair value under IFRS 3. The Company has defined a useful life of five years, period in which the value of the brands will be amortized.</t>
        </r>
      </text>
    </comment>
    <comment ref="W74" authorId="0" shapeId="0" xr:uid="{B4B72FFD-FD3E-411B-AFFC-E02F65A59EB8}">
      <text>
        <r>
          <rPr>
            <b/>
            <sz val="10"/>
            <color rgb="FF000000"/>
            <rFont val="Tahoma"/>
            <family val="2"/>
          </rPr>
          <t xml:space="preserve">
</t>
        </r>
        <r>
          <rPr>
            <sz val="10"/>
            <color rgb="FF000000"/>
            <rFont val="Tahoma"/>
            <family val="2"/>
          </rPr>
          <t>In 2021 no disposals</t>
        </r>
      </text>
    </comment>
    <comment ref="AU74" authorId="0" shapeId="0" xr:uid="{1C8EA592-35EB-4CFE-A4A4-1F5AB8B09184}">
      <text>
        <r>
          <rPr>
            <b/>
            <sz val="10"/>
            <color rgb="FF000000"/>
            <rFont val="Tahoma"/>
            <family val="2"/>
          </rPr>
          <t xml:space="preserve">
</t>
        </r>
        <r>
          <rPr>
            <sz val="10"/>
            <color rgb="FF000000"/>
            <rFont val="Tahoma"/>
            <family val="2"/>
          </rPr>
          <t>In 2021 no disposals</t>
        </r>
      </text>
    </comment>
    <comment ref="W80" authorId="0" shapeId="0" xr:uid="{8931BC84-6D9A-453B-B5F7-0C2403E25D2F}">
      <text>
        <r>
          <rPr>
            <b/>
            <sz val="10"/>
            <color rgb="FF000000"/>
            <rFont val="Tahoma"/>
            <family val="2"/>
          </rPr>
          <t>Microsoft Office User:</t>
        </r>
        <r>
          <rPr>
            <sz val="10"/>
            <color rgb="FF000000"/>
            <rFont val="Tahoma"/>
            <family val="2"/>
          </rPr>
          <t xml:space="preserve">
</t>
        </r>
        <r>
          <rPr>
            <sz val="10"/>
            <color rgb="FF000000"/>
            <rFont val="Tahoma"/>
            <family val="2"/>
          </rPr>
          <t>Note 17 Integrated report 2021: "</t>
        </r>
        <r>
          <rPr>
            <b/>
            <sz val="10"/>
            <color rgb="FF000000"/>
            <rFont val="Calibri"/>
            <family val="2"/>
          </rPr>
          <t>Consider mainly rotables and tools</t>
        </r>
        <r>
          <rPr>
            <sz val="10"/>
            <color rgb="FF000000"/>
            <rFont val="Calibri"/>
            <family val="2"/>
          </rPr>
          <t xml:space="preserve">"
</t>
        </r>
      </text>
    </comment>
    <comment ref="AU80" authorId="0" shapeId="0" xr:uid="{F4BD9315-6611-4EBD-8F59-C9D482458D04}">
      <text>
        <r>
          <rPr>
            <b/>
            <sz val="10"/>
            <color rgb="FF000000"/>
            <rFont val="Tahoma"/>
            <family val="2"/>
          </rPr>
          <t>Microsoft Office User:</t>
        </r>
        <r>
          <rPr>
            <sz val="10"/>
            <color rgb="FF000000"/>
            <rFont val="Tahoma"/>
            <family val="2"/>
          </rPr>
          <t xml:space="preserve">
</t>
        </r>
        <r>
          <rPr>
            <sz val="10"/>
            <color rgb="FF000000"/>
            <rFont val="Tahoma"/>
            <family val="2"/>
          </rPr>
          <t>Note 17 Integrated report 2021: "</t>
        </r>
        <r>
          <rPr>
            <b/>
            <sz val="10"/>
            <color rgb="FF000000"/>
            <rFont val="Calibri"/>
            <family val="2"/>
          </rPr>
          <t>Consider mainly rotables and tools</t>
        </r>
        <r>
          <rPr>
            <sz val="10"/>
            <color rgb="FF000000"/>
            <rFont val="Calibri"/>
            <family val="2"/>
          </rPr>
          <t xml:space="preserve">"
</t>
        </r>
      </text>
    </comment>
    <comment ref="W94" authorId="0" shapeId="0" xr:uid="{E83E76B4-1698-4C0A-A773-751AD6FF177A}">
      <text>
        <r>
          <rPr>
            <b/>
            <sz val="10"/>
            <color rgb="FF000000"/>
            <rFont val="Tahoma"/>
            <family val="2"/>
          </rPr>
          <t xml:space="preserve">
</t>
        </r>
        <r>
          <rPr>
            <sz val="10"/>
            <color rgb="FF000000"/>
            <rFont val="Tahoma"/>
            <family val="2"/>
          </rPr>
          <t>In 2021 no disposals</t>
        </r>
      </text>
    </comment>
    <comment ref="AU98" authorId="0" shapeId="0" xr:uid="{79157E0E-9B99-4F8D-87C9-3E264E52AC9C}">
      <text>
        <r>
          <rPr>
            <b/>
            <sz val="10"/>
            <color rgb="FF000000"/>
            <rFont val="Tahoma"/>
            <family val="2"/>
          </rPr>
          <t xml:space="preserve">
</t>
        </r>
        <r>
          <rPr>
            <sz val="10"/>
            <color rgb="FF000000"/>
            <rFont val="Tahoma"/>
            <family val="2"/>
          </rPr>
          <t>In 2021 no disposals</t>
        </r>
      </text>
    </comment>
    <comment ref="W102" authorId="0" shapeId="0" xr:uid="{B9B6A158-111C-49A8-B3D1-A213DAB11336}">
      <text>
        <r>
          <rPr>
            <b/>
            <sz val="10"/>
            <color rgb="FF000000"/>
            <rFont val="Tahoma"/>
            <family val="2"/>
          </rPr>
          <t>Microsoft Office User:</t>
        </r>
        <r>
          <rPr>
            <sz val="10"/>
            <color rgb="FF000000"/>
            <rFont val="Tahoma"/>
            <family val="2"/>
          </rPr>
          <t xml:space="preserve">
</t>
        </r>
        <r>
          <rPr>
            <sz val="10"/>
            <color rgb="FF000000"/>
            <rFont val="Tahoma"/>
            <family val="2"/>
          </rPr>
          <t>Note 17 Integrated report 2021: "</t>
        </r>
        <r>
          <rPr>
            <b/>
            <sz val="10"/>
            <color rgb="FF000000"/>
            <rFont val="Calibri"/>
            <family val="2"/>
            <scheme val="minor"/>
          </rPr>
          <t>Consider mainly rotables and tools</t>
        </r>
        <r>
          <rPr>
            <sz val="10"/>
            <color rgb="FF000000"/>
            <rFont val="Calibri"/>
            <family val="2"/>
            <scheme val="minor"/>
          </rPr>
          <t xml:space="preserve">"
</t>
        </r>
      </text>
    </comment>
    <comment ref="AU104" authorId="0" shapeId="0" xr:uid="{41DC0CDB-C2FB-4876-BFA3-DE6C2594527A}">
      <text>
        <r>
          <rPr>
            <b/>
            <sz val="10"/>
            <color rgb="FF000000"/>
            <rFont val="Tahoma"/>
            <family val="2"/>
          </rPr>
          <t>Microsoft Office User:</t>
        </r>
        <r>
          <rPr>
            <sz val="10"/>
            <color rgb="FF000000"/>
            <rFont val="Tahoma"/>
            <family val="2"/>
          </rPr>
          <t xml:space="preserve">
</t>
        </r>
        <r>
          <rPr>
            <sz val="10"/>
            <color rgb="FF000000"/>
            <rFont val="Tahoma"/>
            <family val="2"/>
          </rPr>
          <t>Note 17 Integrated report 2021: "</t>
        </r>
        <r>
          <rPr>
            <b/>
            <sz val="10"/>
            <color rgb="FF000000"/>
            <rFont val="Calibri"/>
            <family val="2"/>
          </rPr>
          <t>Consider mainly rotables and tools</t>
        </r>
        <r>
          <rPr>
            <sz val="10"/>
            <color rgb="FF000000"/>
            <rFont val="Calibri"/>
            <family val="2"/>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P5" authorId="0" shapeId="0" xr:uid="{B578CF8E-67E4-4C0D-8A21-3ABC1E8D9A68}">
      <text>
        <r>
          <rPr>
            <b/>
            <sz val="10"/>
            <color rgb="FF000000"/>
            <rFont val="Tahoma"/>
            <family val="2"/>
          </rPr>
          <t>Microsoft Office User:</t>
        </r>
        <r>
          <rPr>
            <sz val="10"/>
            <color rgb="FF000000"/>
            <rFont val="Tahoma"/>
            <family val="2"/>
          </rPr>
          <t xml:space="preserve">
</t>
        </r>
        <r>
          <rPr>
            <sz val="10"/>
            <color rgb="FF000000"/>
            <rFont val="Calibri"/>
            <family val="2"/>
            <scheme val="minor"/>
          </rPr>
          <t xml:space="preserve">2.5. Intangible assets other than goodwill 
</t>
        </r>
        <r>
          <rPr>
            <sz val="10"/>
            <color rgb="FF000000"/>
            <rFont val="Calibri"/>
            <family val="2"/>
            <scheme val="minor"/>
          </rPr>
          <t xml:space="preserve">
</t>
        </r>
        <r>
          <rPr>
            <sz val="10"/>
            <color rgb="FF000000"/>
            <rFont val="Calibri"/>
            <family val="2"/>
            <scheme val="minor"/>
          </rPr>
          <t xml:space="preserve">(a) Airport slots and Loyalty program Airport slots and the Loyalty program correspond to intangible assets with indefinite useful lives and are annually tested for impairment as an integral part of the CGU Air Transport. Airport Slots correspond to an administrative authorization to carry out operations of arrival and departure of aircraft, at a specific airport, within a certain period of time. The Loyalty program corresponds to the system of accumulation and exchange of points that is part of TAM Linhas Aereas S.A. The airport slots and Loyalty program were recognized at fair value under IFRS 3, as a consequence of the business combination with TAM S.A. and Subsidiaries.
</t>
        </r>
        <r>
          <rPr>
            <sz val="10"/>
            <color rgb="FF000000"/>
            <rFont val="Calibri"/>
            <family val="2"/>
            <scheme val="minor"/>
          </rPr>
          <t xml:space="preserve">
</t>
        </r>
        <r>
          <rPr>
            <sz val="10"/>
            <color rgb="FF000000"/>
            <rFont val="Calibri"/>
            <family val="2"/>
            <scheme val="minor"/>
          </rPr>
          <t xml:space="preserve"> (b) Computer software Licenses for computer software acquired are capitalized on the basis of the costs incurred in acquiring them and preparing them for using the specific software. These costs are amortized over their estimated useful lives, for which the Company has been defined useful lives between 3 and 10 years. Expenses related to the development or maintenance of computer software which do not qualify for capitalization, are shown as an expense when incurred. The personnel costs and others cost directly related to the production of unique and identifiable computer software controlled by the Company, are shown as intangible Assets others than Goodwill when they have met all the criteria for capitalization. 
</t>
        </r>
        <r>
          <rPr>
            <sz val="10"/>
            <color rgb="FF000000"/>
            <rFont val="Calibri"/>
            <family val="2"/>
            <scheme val="minor"/>
          </rPr>
          <t xml:space="preserve">
</t>
        </r>
        <r>
          <rPr>
            <sz val="10"/>
            <color rgb="FF000000"/>
            <rFont val="Calibri"/>
            <family val="2"/>
            <scheme val="minor"/>
          </rPr>
          <t>(c) Brands The Brands were acquired in the business combination with TAM S.A. and Subsidiaries and, recognized at fair value under IFRS 3. The Company has defined a useful life of five years, period in which the value of the brands will be amortized.</t>
        </r>
      </text>
    </comment>
    <comment ref="W74" authorId="0" shapeId="0" xr:uid="{BAC4CD97-B6F2-48A5-9932-C3974F7DB03D}">
      <text>
        <r>
          <rPr>
            <b/>
            <sz val="10"/>
            <color rgb="FF000000"/>
            <rFont val="Tahoma"/>
            <family val="2"/>
          </rPr>
          <t xml:space="preserve">
</t>
        </r>
        <r>
          <rPr>
            <sz val="10"/>
            <color rgb="FF000000"/>
            <rFont val="Tahoma"/>
            <family val="2"/>
          </rPr>
          <t>In 2021 no disposals</t>
        </r>
      </text>
    </comment>
    <comment ref="AU74" authorId="0" shapeId="0" xr:uid="{CC435182-28FA-41D7-BAAE-FA3AFC56BB25}">
      <text>
        <r>
          <rPr>
            <b/>
            <sz val="10"/>
            <color rgb="FF000000"/>
            <rFont val="Tahoma"/>
            <family val="2"/>
          </rPr>
          <t xml:space="preserve">
</t>
        </r>
        <r>
          <rPr>
            <sz val="10"/>
            <color rgb="FF000000"/>
            <rFont val="Tahoma"/>
            <family val="2"/>
          </rPr>
          <t>In 2021 no disposals</t>
        </r>
      </text>
    </comment>
    <comment ref="W80" authorId="0" shapeId="0" xr:uid="{1BA594E7-2EB3-4066-93ED-DC77BBB50A25}">
      <text>
        <r>
          <rPr>
            <b/>
            <sz val="10"/>
            <color rgb="FF000000"/>
            <rFont val="Tahoma"/>
            <family val="2"/>
          </rPr>
          <t>Microsoft Office User:</t>
        </r>
        <r>
          <rPr>
            <sz val="10"/>
            <color rgb="FF000000"/>
            <rFont val="Tahoma"/>
            <family val="2"/>
          </rPr>
          <t xml:space="preserve">
</t>
        </r>
        <r>
          <rPr>
            <sz val="10"/>
            <color rgb="FF000000"/>
            <rFont val="Tahoma"/>
            <family val="2"/>
          </rPr>
          <t>Note 17 Integrated report 2021: "</t>
        </r>
        <r>
          <rPr>
            <b/>
            <sz val="10"/>
            <color rgb="FF000000"/>
            <rFont val="Calibri"/>
            <family val="2"/>
          </rPr>
          <t>Consider mainly rotables and tools</t>
        </r>
        <r>
          <rPr>
            <sz val="10"/>
            <color rgb="FF000000"/>
            <rFont val="Calibri"/>
            <family val="2"/>
          </rPr>
          <t xml:space="preserve">"
</t>
        </r>
      </text>
    </comment>
    <comment ref="AU80" authorId="0" shapeId="0" xr:uid="{921187BC-2053-450F-8C2A-1B7F2628DB54}">
      <text>
        <r>
          <rPr>
            <b/>
            <sz val="10"/>
            <color rgb="FF000000"/>
            <rFont val="Tahoma"/>
            <family val="2"/>
          </rPr>
          <t>Microsoft Office User:</t>
        </r>
        <r>
          <rPr>
            <sz val="10"/>
            <color rgb="FF000000"/>
            <rFont val="Tahoma"/>
            <family val="2"/>
          </rPr>
          <t xml:space="preserve">
</t>
        </r>
        <r>
          <rPr>
            <sz val="10"/>
            <color rgb="FF000000"/>
            <rFont val="Tahoma"/>
            <family val="2"/>
          </rPr>
          <t>Note 17 Integrated report 2021: "</t>
        </r>
        <r>
          <rPr>
            <b/>
            <sz val="10"/>
            <color rgb="FF000000"/>
            <rFont val="Calibri"/>
            <family val="2"/>
          </rPr>
          <t>Consider mainly rotables and tools</t>
        </r>
        <r>
          <rPr>
            <sz val="10"/>
            <color rgb="FF000000"/>
            <rFont val="Calibri"/>
            <family val="2"/>
          </rPr>
          <t xml:space="preserve">"
</t>
        </r>
      </text>
    </comment>
    <comment ref="W94" authorId="0" shapeId="0" xr:uid="{DDC64605-DF20-49DC-817F-49BB171D4616}">
      <text>
        <r>
          <rPr>
            <b/>
            <sz val="10"/>
            <color rgb="FF000000"/>
            <rFont val="Tahoma"/>
            <family val="2"/>
          </rPr>
          <t xml:space="preserve">
</t>
        </r>
        <r>
          <rPr>
            <sz val="10"/>
            <color rgb="FF000000"/>
            <rFont val="Tahoma"/>
            <family val="2"/>
          </rPr>
          <t>In 2021 no disposals</t>
        </r>
      </text>
    </comment>
    <comment ref="AU98" authorId="0" shapeId="0" xr:uid="{5BE186E9-1FE2-49F1-A9A4-716C6BBE0249}">
      <text>
        <r>
          <rPr>
            <b/>
            <sz val="10"/>
            <color rgb="FF000000"/>
            <rFont val="Tahoma"/>
            <family val="2"/>
          </rPr>
          <t xml:space="preserve">
</t>
        </r>
        <r>
          <rPr>
            <sz val="10"/>
            <color rgb="FF000000"/>
            <rFont val="Tahoma"/>
            <family val="2"/>
          </rPr>
          <t>In 2021 no disposals</t>
        </r>
      </text>
    </comment>
    <comment ref="W102" authorId="0" shapeId="0" xr:uid="{E0F7702D-BE81-45FA-9A36-C22E37A6C551}">
      <text>
        <r>
          <rPr>
            <b/>
            <sz val="10"/>
            <color rgb="FF000000"/>
            <rFont val="Tahoma"/>
            <family val="2"/>
          </rPr>
          <t>Microsoft Office User:</t>
        </r>
        <r>
          <rPr>
            <sz val="10"/>
            <color rgb="FF000000"/>
            <rFont val="Tahoma"/>
            <family val="2"/>
          </rPr>
          <t xml:space="preserve">
</t>
        </r>
        <r>
          <rPr>
            <sz val="10"/>
            <color rgb="FF000000"/>
            <rFont val="Tahoma"/>
            <family val="2"/>
          </rPr>
          <t>Note 17 Integrated report 2021: "</t>
        </r>
        <r>
          <rPr>
            <b/>
            <sz val="10"/>
            <color rgb="FF000000"/>
            <rFont val="Calibri"/>
            <family val="2"/>
            <scheme val="minor"/>
          </rPr>
          <t>Consider mainly rotables and tools</t>
        </r>
        <r>
          <rPr>
            <sz val="10"/>
            <color rgb="FF000000"/>
            <rFont val="Calibri"/>
            <family val="2"/>
            <scheme val="minor"/>
          </rPr>
          <t xml:space="preserve">"
</t>
        </r>
      </text>
    </comment>
    <comment ref="AU104" authorId="0" shapeId="0" xr:uid="{1CB8E693-2BB8-4971-B1EB-9340B2CC3B16}">
      <text>
        <r>
          <rPr>
            <b/>
            <sz val="10"/>
            <color rgb="FF000000"/>
            <rFont val="Tahoma"/>
            <family val="2"/>
          </rPr>
          <t>Microsoft Office User:</t>
        </r>
        <r>
          <rPr>
            <sz val="10"/>
            <color rgb="FF000000"/>
            <rFont val="Tahoma"/>
            <family val="2"/>
          </rPr>
          <t xml:space="preserve">
</t>
        </r>
        <r>
          <rPr>
            <sz val="10"/>
            <color rgb="FF000000"/>
            <rFont val="Tahoma"/>
            <family val="2"/>
          </rPr>
          <t>Note 17 Integrated report 2021: "</t>
        </r>
        <r>
          <rPr>
            <b/>
            <sz val="10"/>
            <color rgb="FF000000"/>
            <rFont val="Calibri"/>
            <family val="2"/>
          </rPr>
          <t>Consider mainly rotables and tools</t>
        </r>
        <r>
          <rPr>
            <sz val="10"/>
            <color rgb="FF000000"/>
            <rFont val="Calibri"/>
            <family val="2"/>
          </rPr>
          <t xml:space="preserv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P5" authorId="0" shapeId="0" xr:uid="{8BD9E1CE-59F7-8E4E-A199-4A118A174E18}">
      <text>
        <r>
          <rPr>
            <b/>
            <sz val="10"/>
            <color rgb="FF000000"/>
            <rFont val="Tahoma"/>
            <family val="2"/>
          </rPr>
          <t>Microsoft Office User:</t>
        </r>
        <r>
          <rPr>
            <sz val="10"/>
            <color rgb="FF000000"/>
            <rFont val="Tahoma"/>
            <family val="2"/>
          </rPr>
          <t xml:space="preserve">
</t>
        </r>
        <r>
          <rPr>
            <sz val="10"/>
            <color rgb="FF000000"/>
            <rFont val="Calibri"/>
            <family val="2"/>
            <scheme val="minor"/>
          </rPr>
          <t xml:space="preserve">2.5. Intangible assets other than goodwill 
</t>
        </r>
        <r>
          <rPr>
            <sz val="10"/>
            <color rgb="FF000000"/>
            <rFont val="Calibri"/>
            <family val="2"/>
            <scheme val="minor"/>
          </rPr>
          <t xml:space="preserve">
</t>
        </r>
        <r>
          <rPr>
            <sz val="10"/>
            <color rgb="FF000000"/>
            <rFont val="Calibri"/>
            <family val="2"/>
            <scheme val="minor"/>
          </rPr>
          <t xml:space="preserve">(a) Airport slots and Loyalty program Airport slots and the Loyalty program correspond to intangible assets with indefinite useful lives and are annually tested for impairment as an integral part of the CGU Air Transport. Airport Slots correspond to an administrative authorization to carry out operations of arrival and departure of aircraft, at a specific airport, within a certain period of time. The Loyalty program corresponds to the system of accumulation and exchange of points that is part of TAM Linhas Aereas S.A. The airport slots and Loyalty program were recognized at fair value under IFRS 3, as a consequence of the business combination with TAM S.A. and Subsidiaries.
</t>
        </r>
        <r>
          <rPr>
            <sz val="10"/>
            <color rgb="FF000000"/>
            <rFont val="Calibri"/>
            <family val="2"/>
            <scheme val="minor"/>
          </rPr>
          <t xml:space="preserve">
</t>
        </r>
        <r>
          <rPr>
            <sz val="10"/>
            <color rgb="FF000000"/>
            <rFont val="Calibri"/>
            <family val="2"/>
            <scheme val="minor"/>
          </rPr>
          <t xml:space="preserve"> (b) Computer software Licenses for computer software acquired are capitalized on the basis of the costs incurred in acquiring them and preparing them for using the specific software. These costs are amortized over their estimated useful lives, for which the Company has been defined useful lives between 3 and 10 years. Expenses related to the development or maintenance of computer software which do not qualify for capitalization, are shown as an expense when incurred. The personnel costs and others cost directly related to the production of unique and identifiable computer software controlled by the Company, are shown as intangible Assets others than Goodwill when they have met all the criteria for capitalization. 
</t>
        </r>
        <r>
          <rPr>
            <sz val="10"/>
            <color rgb="FF000000"/>
            <rFont val="Calibri"/>
            <family val="2"/>
            <scheme val="minor"/>
          </rPr>
          <t xml:space="preserve">
</t>
        </r>
        <r>
          <rPr>
            <sz val="10"/>
            <color rgb="FF000000"/>
            <rFont val="Calibri"/>
            <family val="2"/>
            <scheme val="minor"/>
          </rPr>
          <t>(c) Brands The Brands were acquired in the business combination with TAM S.A. and Subsidiaries and, recognized at fair value under IFRS 3. The Company has defined a useful life of five years, period in which the value of the brands will be amortized.</t>
        </r>
      </text>
    </comment>
    <comment ref="W74" authorId="0" shapeId="0" xr:uid="{AF70B73A-80E4-5D49-B4C5-A6E5E2FB0133}">
      <text>
        <r>
          <rPr>
            <b/>
            <sz val="10"/>
            <color rgb="FF000000"/>
            <rFont val="Tahoma"/>
            <family val="2"/>
          </rPr>
          <t xml:space="preserve">
</t>
        </r>
        <r>
          <rPr>
            <sz val="10"/>
            <color rgb="FF000000"/>
            <rFont val="Tahoma"/>
            <family val="2"/>
          </rPr>
          <t>In 2021 no disposals</t>
        </r>
      </text>
    </comment>
    <comment ref="AU74" authorId="0" shapeId="0" xr:uid="{B3877C78-59CB-F943-97AE-1A38B1141E51}">
      <text>
        <r>
          <rPr>
            <b/>
            <sz val="10"/>
            <color rgb="FF000000"/>
            <rFont val="Tahoma"/>
            <family val="2"/>
          </rPr>
          <t xml:space="preserve">
</t>
        </r>
        <r>
          <rPr>
            <sz val="10"/>
            <color rgb="FF000000"/>
            <rFont val="Tahoma"/>
            <family val="2"/>
          </rPr>
          <t>In 2021 no disposals</t>
        </r>
      </text>
    </comment>
    <comment ref="W80" authorId="0" shapeId="0" xr:uid="{0D82ACDE-150E-BA44-8CFA-8C35341D0132}">
      <text>
        <r>
          <rPr>
            <b/>
            <sz val="10"/>
            <color rgb="FF000000"/>
            <rFont val="Tahoma"/>
            <family val="2"/>
          </rPr>
          <t>Microsoft Office User:</t>
        </r>
        <r>
          <rPr>
            <sz val="10"/>
            <color rgb="FF000000"/>
            <rFont val="Tahoma"/>
            <family val="2"/>
          </rPr>
          <t xml:space="preserve">
</t>
        </r>
        <r>
          <rPr>
            <sz val="10"/>
            <color rgb="FF000000"/>
            <rFont val="Tahoma"/>
            <family val="2"/>
          </rPr>
          <t>Note 17 Integrated report 2021: "</t>
        </r>
        <r>
          <rPr>
            <b/>
            <sz val="10"/>
            <color rgb="FF000000"/>
            <rFont val="Calibri"/>
            <family val="2"/>
          </rPr>
          <t>Consider mainly rotables and tools</t>
        </r>
        <r>
          <rPr>
            <sz val="10"/>
            <color rgb="FF000000"/>
            <rFont val="Calibri"/>
            <family val="2"/>
          </rPr>
          <t xml:space="preserve">"
</t>
        </r>
      </text>
    </comment>
    <comment ref="AU80" authorId="0" shapeId="0" xr:uid="{82695B2F-0DB2-5E47-867E-28862B533178}">
      <text>
        <r>
          <rPr>
            <b/>
            <sz val="10"/>
            <color rgb="FF000000"/>
            <rFont val="Tahoma"/>
            <family val="2"/>
          </rPr>
          <t>Microsoft Office User:</t>
        </r>
        <r>
          <rPr>
            <sz val="10"/>
            <color rgb="FF000000"/>
            <rFont val="Tahoma"/>
            <family val="2"/>
          </rPr>
          <t xml:space="preserve">
</t>
        </r>
        <r>
          <rPr>
            <sz val="10"/>
            <color rgb="FF000000"/>
            <rFont val="Tahoma"/>
            <family val="2"/>
          </rPr>
          <t>Note 17 Integrated report 2021: "</t>
        </r>
        <r>
          <rPr>
            <b/>
            <sz val="10"/>
            <color rgb="FF000000"/>
            <rFont val="Calibri"/>
            <family val="2"/>
          </rPr>
          <t>Consider mainly rotables and tools</t>
        </r>
        <r>
          <rPr>
            <sz val="10"/>
            <color rgb="FF000000"/>
            <rFont val="Calibri"/>
            <family val="2"/>
          </rPr>
          <t xml:space="preserve">"
</t>
        </r>
      </text>
    </comment>
    <comment ref="W94" authorId="0" shapeId="0" xr:uid="{F3619DA5-A49A-334C-A0B3-5090B9D2C7B7}">
      <text>
        <r>
          <rPr>
            <b/>
            <sz val="10"/>
            <color rgb="FF000000"/>
            <rFont val="Tahoma"/>
            <family val="2"/>
          </rPr>
          <t xml:space="preserve">
</t>
        </r>
        <r>
          <rPr>
            <sz val="10"/>
            <color rgb="FF000000"/>
            <rFont val="Tahoma"/>
            <family val="2"/>
          </rPr>
          <t>In 2021 no disposals</t>
        </r>
      </text>
    </comment>
    <comment ref="AU98" authorId="0" shapeId="0" xr:uid="{0BCC494D-AC0D-C543-94CB-94AC3885EBA3}">
      <text>
        <r>
          <rPr>
            <b/>
            <sz val="10"/>
            <color rgb="FF000000"/>
            <rFont val="Tahoma"/>
            <family val="2"/>
          </rPr>
          <t xml:space="preserve">
</t>
        </r>
        <r>
          <rPr>
            <sz val="10"/>
            <color rgb="FF000000"/>
            <rFont val="Tahoma"/>
            <family val="2"/>
          </rPr>
          <t>In 2021 no disposals</t>
        </r>
      </text>
    </comment>
    <comment ref="W102" authorId="0" shapeId="0" xr:uid="{BE80BDDB-9FB9-C146-9583-506F13A19678}">
      <text>
        <r>
          <rPr>
            <b/>
            <sz val="10"/>
            <color rgb="FF000000"/>
            <rFont val="Tahoma"/>
            <family val="2"/>
          </rPr>
          <t>Microsoft Office User:</t>
        </r>
        <r>
          <rPr>
            <sz val="10"/>
            <color rgb="FF000000"/>
            <rFont val="Tahoma"/>
            <family val="2"/>
          </rPr>
          <t xml:space="preserve">
</t>
        </r>
        <r>
          <rPr>
            <sz val="10"/>
            <color rgb="FF000000"/>
            <rFont val="Tahoma"/>
            <family val="2"/>
          </rPr>
          <t>Note 17 Integrated report 2021: "</t>
        </r>
        <r>
          <rPr>
            <b/>
            <sz val="10"/>
            <color rgb="FF000000"/>
            <rFont val="Calibri"/>
            <family val="2"/>
            <scheme val="minor"/>
          </rPr>
          <t>Consider mainly rotables and tools</t>
        </r>
        <r>
          <rPr>
            <sz val="10"/>
            <color rgb="FF000000"/>
            <rFont val="Calibri"/>
            <family val="2"/>
            <scheme val="minor"/>
          </rPr>
          <t xml:space="preserve">"
</t>
        </r>
      </text>
    </comment>
    <comment ref="AU104" authorId="0" shapeId="0" xr:uid="{E04A5E9F-722F-394B-A01C-AC10EABF26B1}">
      <text>
        <r>
          <rPr>
            <b/>
            <sz val="10"/>
            <color rgb="FF000000"/>
            <rFont val="Tahoma"/>
            <family val="2"/>
          </rPr>
          <t>Microsoft Office User:</t>
        </r>
        <r>
          <rPr>
            <sz val="10"/>
            <color rgb="FF000000"/>
            <rFont val="Tahoma"/>
            <family val="2"/>
          </rPr>
          <t xml:space="preserve">
</t>
        </r>
        <r>
          <rPr>
            <sz val="10"/>
            <color rgb="FF000000"/>
            <rFont val="Tahoma"/>
            <family val="2"/>
          </rPr>
          <t>Note 17 Integrated report 2021: "</t>
        </r>
        <r>
          <rPr>
            <b/>
            <sz val="10"/>
            <color rgb="FF000000"/>
            <rFont val="Calibri"/>
            <family val="2"/>
          </rPr>
          <t>Consider mainly rotables and tools</t>
        </r>
        <r>
          <rPr>
            <sz val="10"/>
            <color rgb="FF000000"/>
            <rFont val="Calibri"/>
            <family val="2"/>
          </rPr>
          <t xml:space="preserv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G9" authorId="0" shapeId="0" xr:uid="{8B0A45EF-03B6-6847-8952-38A33CECD586}">
      <text>
        <r>
          <rPr>
            <b/>
            <sz val="10"/>
            <color rgb="FF000000"/>
            <rFont val="Tahoma"/>
            <family val="2"/>
          </rPr>
          <t>Microsoft Office User:</t>
        </r>
        <r>
          <rPr>
            <sz val="10"/>
            <color rgb="FF000000"/>
            <rFont val="Tahoma"/>
            <family val="2"/>
          </rPr>
          <t xml:space="preserve">
</t>
        </r>
        <r>
          <rPr>
            <b/>
            <sz val="10"/>
            <color rgb="FF000000"/>
            <rFont val="Tahoma"/>
            <family val="2"/>
          </rPr>
          <t xml:space="preserve">Statista: </t>
        </r>
        <r>
          <rPr>
            <sz val="10"/>
            <color rgb="FF000000"/>
            <rFont val="Tahoma"/>
            <family val="2"/>
          </rPr>
          <t>https://www.statista.com/statistics/263615/gross-domestic-product-gdp-growth-rate-in-brazil/</t>
        </r>
      </text>
    </comment>
    <comment ref="C10" authorId="0" shapeId="0" xr:uid="{AEBE5BA6-0992-2946-8188-D4FE98D4602D}">
      <text>
        <r>
          <rPr>
            <b/>
            <sz val="10"/>
            <color rgb="FF000000"/>
            <rFont val="Tahoma"/>
            <family val="2"/>
          </rPr>
          <t>Microsoft Office User:</t>
        </r>
        <r>
          <rPr>
            <sz val="10"/>
            <color rgb="FF000000"/>
            <rFont val="Tahoma"/>
            <family val="2"/>
          </rPr>
          <t xml:space="preserve">
</t>
        </r>
        <r>
          <rPr>
            <sz val="10"/>
            <color rgb="FF000000"/>
            <rFont val="Tahoma"/>
            <family val="2"/>
          </rPr>
          <t>Latam june 2022 updated business plan</t>
        </r>
      </text>
    </comment>
    <comment ref="G52" authorId="0" shapeId="0" xr:uid="{75CDA0D0-470D-F54C-BF81-6C6DBF61C5B9}">
      <text>
        <r>
          <rPr>
            <b/>
            <sz val="10"/>
            <color rgb="FF000000"/>
            <rFont val="Tahoma"/>
            <family val="2"/>
          </rPr>
          <t>Microsoft Office User:</t>
        </r>
        <r>
          <rPr>
            <sz val="10"/>
            <color rgb="FF000000"/>
            <rFont val="Tahoma"/>
            <family val="2"/>
          </rPr>
          <t xml:space="preserve">
</t>
        </r>
        <r>
          <rPr>
            <b/>
            <sz val="10"/>
            <color rgb="FF000000"/>
            <rFont val="Tahoma"/>
            <family val="2"/>
          </rPr>
          <t xml:space="preserve">Statista: </t>
        </r>
        <r>
          <rPr>
            <sz val="10"/>
            <color rgb="FF000000"/>
            <rFont val="Tahoma"/>
            <family val="2"/>
          </rPr>
          <t>https://www.statista.com/statistics/263615/gross-domestic-product-gdp-growth-rate-in-brazil/</t>
        </r>
      </text>
    </comment>
    <comment ref="C53" authorId="0" shapeId="0" xr:uid="{E1C1CB08-55AD-4C4E-BCF6-5A0302E8C3BC}">
      <text>
        <r>
          <rPr>
            <b/>
            <sz val="10"/>
            <color rgb="FF000000"/>
            <rFont val="Tahoma"/>
            <family val="2"/>
          </rPr>
          <t>Microsoft Office User:</t>
        </r>
        <r>
          <rPr>
            <sz val="10"/>
            <color rgb="FF000000"/>
            <rFont val="Tahoma"/>
            <family val="2"/>
          </rPr>
          <t xml:space="preserve">
</t>
        </r>
        <r>
          <rPr>
            <sz val="10"/>
            <color rgb="FF000000"/>
            <rFont val="Tahoma"/>
            <family val="2"/>
          </rPr>
          <t>Latam june 2022 updated business plan</t>
        </r>
      </text>
    </comment>
    <comment ref="C80" authorId="0" shapeId="0" xr:uid="{7F6DC45B-6040-B84C-8558-531C81C06AD8}">
      <text>
        <r>
          <rPr>
            <b/>
            <sz val="10"/>
            <color rgb="FF000000"/>
            <rFont val="Tahoma"/>
            <family val="2"/>
          </rPr>
          <t>Microsoft Office User:</t>
        </r>
        <r>
          <rPr>
            <sz val="10"/>
            <color rgb="FF000000"/>
            <rFont val="Tahoma"/>
            <family val="2"/>
          </rPr>
          <t xml:space="preserve">
</t>
        </r>
        <r>
          <rPr>
            <sz val="10"/>
            <color rgb="FF000000"/>
            <rFont val="Tahoma"/>
            <family val="2"/>
          </rPr>
          <t xml:space="preserve">Forecast Inflation: </t>
        </r>
        <r>
          <rPr>
            <b/>
            <sz val="10"/>
            <color rgb="FF000000"/>
            <rFont val="Tahoma"/>
            <family val="2"/>
          </rPr>
          <t xml:space="preserve">Statista
</t>
        </r>
        <r>
          <rPr>
            <sz val="10"/>
            <color rgb="FF000000"/>
            <rFont val="Tahoma"/>
            <family val="2"/>
          </rPr>
          <t>https://www.statista.com/statistics/244983/projected-inflation-rate-in-the-united-states/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Thomas</author>
  </authors>
  <commentList>
    <comment ref="B6" authorId="0" shapeId="0" xr:uid="{1D9D51BF-DC86-ED4F-8F89-EA7B284DD6FB}">
      <text>
        <r>
          <rPr>
            <sz val="9"/>
            <color rgb="FF000000"/>
            <rFont val="Tahoma"/>
            <family val="2"/>
          </rPr>
          <t>They consists mainly on VAT; commissions on sales of deferred revenues</t>
        </r>
      </text>
    </comment>
    <comment ref="B16" authorId="0" shapeId="0" xr:uid="{CB1BE1CA-7D84-274F-9221-B7F23730ADD6}">
      <text>
        <r>
          <rPr>
            <sz val="9"/>
            <color rgb="FF000000"/>
            <rFont val="Tahoma"/>
            <family val="2"/>
          </rPr>
          <t>Until 2020, almost all deferred taxes</t>
        </r>
      </text>
    </comment>
    <comment ref="H21" authorId="0" shapeId="0" xr:uid="{01989863-3813-784C-B8E2-F4663D951D2C}">
      <text>
        <r>
          <rPr>
            <sz val="9"/>
            <color rgb="FF000000"/>
            <rFont val="Tahoma"/>
            <family val="2"/>
          </rPr>
          <t>They comprehend current and non-current payables</t>
        </r>
      </text>
    </comment>
    <comment ref="B23" authorId="0" shapeId="0" xr:uid="{B8C1AEEE-88FC-9245-9AAE-F69F0EFF05C0}">
      <text>
        <r>
          <rPr>
            <b/>
            <sz val="9"/>
            <color indexed="81"/>
            <rFont val="Tahoma"/>
            <family val="2"/>
          </rPr>
          <t>DEFERRED REVENUES</t>
        </r>
      </text>
    </comment>
    <comment ref="H23" authorId="0" shapeId="0" xr:uid="{29E84195-AF53-D243-9BD4-32045291920A}">
      <text>
        <r>
          <rPr>
            <b/>
            <sz val="9"/>
            <color rgb="FF000000"/>
            <rFont val="Tahoma"/>
            <family val="2"/>
          </rPr>
          <t xml:space="preserve">Includes current and non-current
</t>
        </r>
      </text>
    </comment>
    <comment ref="H26" authorId="0" shapeId="0" xr:uid="{13112B27-3FD5-5F45-B337-0469B16D771B}">
      <text>
        <r>
          <rPr>
            <sz val="9"/>
            <color rgb="FF000000"/>
            <rFont val="Tahoma"/>
            <family val="2"/>
          </rPr>
          <t>Included in non-current payables</t>
        </r>
      </text>
    </comment>
    <comment ref="B30" authorId="0" shapeId="0" xr:uid="{5EAD9C3C-7BA6-F942-87C1-E65B68109EA3}">
      <text>
        <r>
          <rPr>
            <b/>
            <sz val="9"/>
            <color indexed="81"/>
            <rFont val="Tahoma"/>
            <family val="2"/>
          </rPr>
          <t>DEFERRED REVENUES</t>
        </r>
      </text>
    </comment>
    <comment ref="H30" authorId="0" shapeId="0" xr:uid="{4D07F2B2-F372-2B4E-A833-B0B3E89E50EE}">
      <text>
        <r>
          <rPr>
            <b/>
            <sz val="9"/>
            <color rgb="FF000000"/>
            <rFont val="Tahoma"/>
            <family val="2"/>
          </rPr>
          <t>Included in current</t>
        </r>
      </text>
    </comment>
    <comment ref="H56" authorId="0" shapeId="0" xr:uid="{C169BEDA-F0D0-244D-9852-9E41258AAF8E}">
      <text>
        <r>
          <rPr>
            <sz val="9"/>
            <color rgb="FF000000"/>
            <rFont val="Tahoma"/>
            <family val="2"/>
          </rPr>
          <t>They comprehend current and non-current payables</t>
        </r>
      </text>
    </comment>
    <comment ref="H60" authorId="0" shapeId="0" xr:uid="{0A23400E-B62A-D346-8294-1F95C5157ADA}">
      <text>
        <r>
          <rPr>
            <b/>
            <sz val="9"/>
            <color rgb="FF000000"/>
            <rFont val="Tahoma"/>
            <family val="2"/>
          </rPr>
          <t xml:space="preserve">Includes current and non-current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<sst xmlns="http://schemas.openxmlformats.org/spreadsheetml/2006/main" count="4170" uniqueCount="1673">
  <si>
    <t>2022E</t>
  </si>
  <si>
    <t>2023F</t>
  </si>
  <si>
    <t>2024F</t>
  </si>
  <si>
    <t>2025F</t>
  </si>
  <si>
    <t>2026F</t>
  </si>
  <si>
    <t>2027F</t>
  </si>
  <si>
    <t>Brazil</t>
  </si>
  <si>
    <t>SSC</t>
  </si>
  <si>
    <t>International</t>
  </si>
  <si>
    <t>Cargo</t>
  </si>
  <si>
    <t>TOTAL OPERATING REVENUES</t>
  </si>
  <si>
    <t>EXPENSES</t>
  </si>
  <si>
    <t>Wages and Benefits</t>
  </si>
  <si>
    <t>Aircraft fuel</t>
  </si>
  <si>
    <t>Selling expenses</t>
  </si>
  <si>
    <t>Depreciation and Amortization</t>
  </si>
  <si>
    <t>Other Rental and Landing Fees</t>
  </si>
  <si>
    <t>Passenger Services</t>
  </si>
  <si>
    <t>Aircraft Rentals</t>
  </si>
  <si>
    <t>Aircraft maintenance</t>
  </si>
  <si>
    <t>Administrative expenses</t>
  </si>
  <si>
    <t>General expenses</t>
  </si>
  <si>
    <t>TOTAL OPERATING EXPENSES</t>
  </si>
  <si>
    <t>D&amp;A</t>
  </si>
  <si>
    <t>Forecast Drivers</t>
  </si>
  <si>
    <t>Income statement items</t>
  </si>
  <si>
    <t>Computation strategy</t>
  </si>
  <si>
    <t>Brazilian (TAM) Revenues</t>
  </si>
  <si>
    <t>Domestic Brazilian RPks</t>
  </si>
  <si>
    <t>Regressed quarterly  ln(RPKs) over quarterly ln(real GDP_(t-1)) and ln(Jet fuel price_(t-1) To find elasticities: \epsilon_1=3.62, \epsilon_2=-0.19</t>
  </si>
  <si>
    <t xml:space="preserve">Growth Rates </t>
  </si>
  <si>
    <t>Real Gdp Brazil forecasted for 2022-2027</t>
  </si>
  <si>
    <t xml:space="preserve">JET FUEL </t>
  </si>
  <si>
    <t>USD/gal</t>
  </si>
  <si>
    <t xml:space="preserve">CAGR 2022-2027, 5 years </t>
  </si>
  <si>
    <t>CAGR  8 years 2019-2028, Latam Estimate</t>
  </si>
  <si>
    <t>CAGR 8 Years 2019-2028 our estimate</t>
  </si>
  <si>
    <t>R^2 regression</t>
  </si>
  <si>
    <t>Recovery Rate market to pre pandemic Levels (2019) vs 2022</t>
  </si>
  <si>
    <t>Market share computation</t>
  </si>
  <si>
    <t>Assuming Latam and its LCC competitors will keep their actual RPKs as of 2021, their future market share will be driven by their contribution to the market growth. This contribution is estimated by a backword looking smoothed average, reduced by a future competition factor.</t>
  </si>
  <si>
    <t>(q1+q2+q3)2022/(q1+q2+q3)2019</t>
  </si>
  <si>
    <t>Market Share</t>
  </si>
  <si>
    <t>GOL+AZUL</t>
  </si>
  <si>
    <t>LATAM</t>
  </si>
  <si>
    <t>OTHERS</t>
  </si>
  <si>
    <t>Latam RPKs (mil)</t>
  </si>
  <si>
    <t>With our estimates Latam recovers in 2022 vs 2019</t>
  </si>
  <si>
    <t>Reasonable with traffic realeases</t>
  </si>
  <si>
    <t>Real Yield per RPk and Revenues in BRL</t>
  </si>
  <si>
    <t>We considered real yield per RPK constant to the mean level from 2019-2021</t>
  </si>
  <si>
    <t>Revenues Brazil USDm</t>
  </si>
  <si>
    <t>Yield Per RPK USD</t>
  </si>
  <si>
    <t>USDBRL</t>
  </si>
  <si>
    <t>Nominal Yield per RPK RBL</t>
  </si>
  <si>
    <t>Inflation</t>
  </si>
  <si>
    <t>Cumulated inflation (constant 2018)</t>
  </si>
  <si>
    <t>Cumulated inflation (constant 2021)</t>
  </si>
  <si>
    <t>-</t>
  </si>
  <si>
    <t>Real Yield per RPK BRL (constant 2018)</t>
  </si>
  <si>
    <t>Revenues mln BRL</t>
  </si>
  <si>
    <t xml:space="preserve">growth rate </t>
  </si>
  <si>
    <t>CAGR 2020-2027</t>
  </si>
  <si>
    <t>Futures</t>
  </si>
  <si>
    <t>We convert Brazilian Revenues in $ by using futures on the exchange rate</t>
  </si>
  <si>
    <t>Futures BRL/USD</t>
  </si>
  <si>
    <t>Brazilian Rev $mil</t>
  </si>
  <si>
    <t>Brazilian Rev in $mln</t>
  </si>
  <si>
    <t>SSC Revenues (USD)</t>
  </si>
  <si>
    <t>SSC number of passengers</t>
  </si>
  <si>
    <t>Regressed yearly  ln(Number of Passengers) over yearly ln(real GDP_t) and ln(Jet fuel price_t) To find elasticities: \epsilon_1=2.44, \epsilon_2=-0.35</t>
  </si>
  <si>
    <t>Real SSC GDP forecasted for 2022-2027</t>
  </si>
  <si>
    <t>CAGR 8 Years 2020-2027 our estimate</t>
  </si>
  <si>
    <t>Assuming Latam, Avianca and their LCC competitors will keep their actual Number of Passengers as of 2021, their future market share will be driven by their contribution to the market growth. This contribution is estimated by a backword looking smoothed average.</t>
  </si>
  <si>
    <t>Latam Passengers</t>
  </si>
  <si>
    <t>Revenue per passenger</t>
  </si>
  <si>
    <t>Peru Revenues mln</t>
  </si>
  <si>
    <t>Colombia Revenues mln</t>
  </si>
  <si>
    <t>Ecuador Revenues mln</t>
  </si>
  <si>
    <t>Chile Revenues mln</t>
  </si>
  <si>
    <t>Revenues SSC USD mln</t>
  </si>
  <si>
    <t>Average revenue per passenger USD</t>
  </si>
  <si>
    <t>Inflation USA</t>
  </si>
  <si>
    <t>cumulated inflation USA</t>
  </si>
  <si>
    <t>Real revenues per passenger USD</t>
  </si>
  <si>
    <t>Revenues mln</t>
  </si>
  <si>
    <t>Revenues  USDmln</t>
  </si>
  <si>
    <t>CAGR (2020-2017)</t>
  </si>
  <si>
    <t>CAGR (2019-2027)</t>
  </si>
  <si>
    <t>International Revenues</t>
  </si>
  <si>
    <t>International Passengers</t>
  </si>
  <si>
    <t>Due to the difficulty of the estimate we applied 2,7% CAGR (2019-2028) as in industry reports (IATA) and LATAM to the number of passengers. We forecast full recovery of the international sector in 2023, due to (1) actual and potential travel restriction, (2) because we forecast a structural gap 15% in business travel to persist among the forecast horizon.</t>
  </si>
  <si>
    <t>Market Share andGlobal Alliances</t>
  </si>
  <si>
    <t>Isaccone Lorem ipsum dolor sit amet, consectetur adipisci elit, sed do eiusmod tempor incidunt ut labore et dolore magna aliqua. Ut enim ad minim veniam, quis nostrum exercitationem ullamco laboriosam, nisi ut aliquid ex ea commodi consequatur. Duis aute irure reprehenderit in voluptate velit esse cillum dolore eu fugiat nulla pariatur. Excepteur sint obcaecat cupiditat non proident, sunt in culpa qui officia deserunt mollit anim id est laborum</t>
  </si>
  <si>
    <t>Joint venture LATAM Delta</t>
  </si>
  <si>
    <t>Latam</t>
  </si>
  <si>
    <t>Argentina</t>
  </si>
  <si>
    <t>United States</t>
  </si>
  <si>
    <t>Europe</t>
  </si>
  <si>
    <t>Asia Pacific and rest of Latin Maerica</t>
  </si>
  <si>
    <t>International Revenues USDm</t>
  </si>
  <si>
    <t>LATAM International Passengers</t>
  </si>
  <si>
    <t>Average revenue per passenger</t>
  </si>
  <si>
    <t>Cumulated inflation USA (2021)</t>
  </si>
  <si>
    <t>Real revenues per passenger</t>
  </si>
  <si>
    <t>Nominal Revenues International mln</t>
  </si>
  <si>
    <t>CAGR</t>
  </si>
  <si>
    <t>TOTAL REVENUES</t>
  </si>
  <si>
    <t>Balance sheet Items - Assets</t>
  </si>
  <si>
    <t>Revenue</t>
  </si>
  <si>
    <t>Cost of Good sold</t>
  </si>
  <si>
    <t>General ad administrative</t>
  </si>
  <si>
    <t>Selling and marketing</t>
  </si>
  <si>
    <t>Depreciation and amortization</t>
  </si>
  <si>
    <t>Interest expense</t>
  </si>
  <si>
    <t>Provision for income taxes</t>
  </si>
  <si>
    <t>Balance sheet Items - Liabilities</t>
  </si>
  <si>
    <t>Market shares with Arba</t>
  </si>
  <si>
    <t>Historical</t>
  </si>
  <si>
    <t>#PASSENGERS international</t>
  </si>
  <si>
    <t>4/3*(Q1-Q322)</t>
  </si>
  <si>
    <t>Latin America</t>
  </si>
  <si>
    <t>Global Allainces</t>
  </si>
  <si>
    <t>US</t>
  </si>
  <si>
    <t>DELTA Airlines</t>
  </si>
  <si>
    <t>Delta</t>
  </si>
  <si>
    <t>Join venture</t>
  </si>
  <si>
    <t>Avianca</t>
  </si>
  <si>
    <t>growth</t>
  </si>
  <si>
    <t>Gol</t>
  </si>
  <si>
    <t>JetSmart</t>
  </si>
  <si>
    <t>American Airlines</t>
  </si>
  <si>
    <t>Viva</t>
  </si>
  <si>
    <t>Abra group</t>
  </si>
  <si>
    <t>Copa</t>
  </si>
  <si>
    <t>United</t>
  </si>
  <si>
    <t>United Airlines</t>
  </si>
  <si>
    <t>Copa Holdings</t>
  </si>
  <si>
    <t>Jet Smart</t>
  </si>
  <si>
    <t>Sky Airlines</t>
  </si>
  <si>
    <t>Int rev</t>
  </si>
  <si>
    <t>TOTAL</t>
  </si>
  <si>
    <t>Number Passengers</t>
  </si>
  <si>
    <t>Average</t>
  </si>
  <si>
    <t>CAPITAL AND DEBT ISSUANCES AND USES</t>
  </si>
  <si>
    <t>FINANCIAL LIABILITIES</t>
  </si>
  <si>
    <t>Capital/Debt Increase</t>
  </si>
  <si>
    <t>Amount USD Th</t>
  </si>
  <si>
    <t>Description</t>
  </si>
  <si>
    <t>3Q 2022</t>
  </si>
  <si>
    <t>Changes during 4Q 2022</t>
  </si>
  <si>
    <t>New share issed</t>
  </si>
  <si>
    <t>Convertible Bond Class B</t>
  </si>
  <si>
    <t>Operating and financial leases</t>
  </si>
  <si>
    <t>Decrease in Operating lease</t>
  </si>
  <si>
    <t>Operating and Financial Leases</t>
  </si>
  <si>
    <t>Convertible Bonds Class C</t>
  </si>
  <si>
    <t>Capital Increase New resources</t>
  </si>
  <si>
    <t>equity</t>
  </si>
  <si>
    <t>Convertible Bond Class A</t>
  </si>
  <si>
    <t>bank loans</t>
  </si>
  <si>
    <t>Debt brazil reapyment</t>
  </si>
  <si>
    <t>PDP Financing (Bank loan)</t>
  </si>
  <si>
    <t>Convertible Bond Class C</t>
  </si>
  <si>
    <t>Other Bank loans repayment</t>
  </si>
  <si>
    <t>Capital Increase substitution in payment</t>
  </si>
  <si>
    <t>operating liabilties</t>
  </si>
  <si>
    <t>Totla bank loan repayment</t>
  </si>
  <si>
    <t>Total Capital Increase</t>
  </si>
  <si>
    <t>guaranteed obligations</t>
  </si>
  <si>
    <t>Reapyment of DIP</t>
  </si>
  <si>
    <t>other guaranteed existing</t>
  </si>
  <si>
    <t>Repayment fo RCF</t>
  </si>
  <si>
    <t>Subsidiary claims</t>
  </si>
  <si>
    <t>New Revolving Credit Facility</t>
  </si>
  <si>
    <t>not used</t>
  </si>
  <si>
    <t>Total guaranteed reapyments</t>
  </si>
  <si>
    <t>Term B Loan</t>
  </si>
  <si>
    <t>Debt Issuance New Resources</t>
  </si>
  <si>
    <t>financial liabilties</t>
  </si>
  <si>
    <t>Term B Loan Issaunce</t>
  </si>
  <si>
    <t>PV of New Corporate Bond</t>
  </si>
  <si>
    <t>Present Value of the new Coprate Bond</t>
  </si>
  <si>
    <t xml:space="preserve">Corporate Bond </t>
  </si>
  <si>
    <t>Debt issuance substitution in payment</t>
  </si>
  <si>
    <t>Total guarnateed issuances</t>
  </si>
  <si>
    <t>Total guaranteed obligations</t>
  </si>
  <si>
    <t>Debt Issuance Total</t>
  </si>
  <si>
    <t>Othr obligations with public</t>
  </si>
  <si>
    <t>USD Bond Repayment</t>
  </si>
  <si>
    <t>Othe obligations with public</t>
  </si>
  <si>
    <t>Other bonds repayment</t>
  </si>
  <si>
    <t>New Resources</t>
  </si>
  <si>
    <t>Other loans</t>
  </si>
  <si>
    <t>Total other loans</t>
  </si>
  <si>
    <t>fin. Liabilties</t>
  </si>
  <si>
    <t>Substituion in payment for fin.liab</t>
  </si>
  <si>
    <t>Total Financial Debt</t>
  </si>
  <si>
    <t>Cash already available</t>
  </si>
  <si>
    <t xml:space="preserve"> </t>
  </si>
  <si>
    <t>Cash</t>
  </si>
  <si>
    <t>OPERATING LIABILITIES</t>
  </si>
  <si>
    <t>Total soruces</t>
  </si>
  <si>
    <t>Liabilties accrued</t>
  </si>
  <si>
    <t>Uses</t>
  </si>
  <si>
    <t>Operating liabilites (current &amp; non-current)</t>
  </si>
  <si>
    <t>Subpayment for op. liab.</t>
  </si>
  <si>
    <t>Rpeayment of DIP</t>
  </si>
  <si>
    <t>otehr guranteed obligations</t>
  </si>
  <si>
    <t>PV Debt Issuance in sub. Payments</t>
  </si>
  <si>
    <t>Adimin/professonal/bakcstop/Financing/other fees</t>
  </si>
  <si>
    <t>Operating liabilties</t>
  </si>
  <si>
    <t>2021 Op. Liab (current&amp;non)</t>
  </si>
  <si>
    <t>Admin/pro/fin and other fees</t>
  </si>
  <si>
    <t>RCF Repayment</t>
  </si>
  <si>
    <t>other guranteed obligations</t>
  </si>
  <si>
    <t>Total decrease in operating liabilties</t>
  </si>
  <si>
    <t>Other obligations with public</t>
  </si>
  <si>
    <t>Debt Brazil Repayment</t>
  </si>
  <si>
    <t>Bank loans</t>
  </si>
  <si>
    <t>EQUITY</t>
  </si>
  <si>
    <t>Subsidiary Claims</t>
  </si>
  <si>
    <t>Cash in balnce</t>
  </si>
  <si>
    <t>Total uses</t>
  </si>
  <si>
    <t>Total shaeholders' Equity</t>
  </si>
  <si>
    <t>CASH BALANCE</t>
  </si>
  <si>
    <t>DTE expenses adn fees</t>
  </si>
  <si>
    <t>Fees &amp; oters</t>
  </si>
  <si>
    <t>Administrative claims</t>
  </si>
  <si>
    <t>Cash and Cash Equivalents</t>
  </si>
  <si>
    <t>Increase in cash</t>
  </si>
  <si>
    <t>cahs balance</t>
  </si>
  <si>
    <t>Admin/professional/finaincg other ffes</t>
  </si>
  <si>
    <t>Data are presetned in US$ Thousands</t>
  </si>
  <si>
    <t>Notes</t>
  </si>
  <si>
    <t>CASH FLOW STATEMENT</t>
  </si>
  <si>
    <t>Operating Cash flow</t>
  </si>
  <si>
    <t>Unlevered Free Cash flow from operations</t>
  </si>
  <si>
    <t>Note A</t>
  </si>
  <si>
    <t>input DCF</t>
  </si>
  <si>
    <t>Interest expenses cash outflow</t>
  </si>
  <si>
    <t>Tax Shield on Interest expesnes</t>
  </si>
  <si>
    <t>Levered free cahs flow</t>
  </si>
  <si>
    <t>Cash flow from debt financing</t>
  </si>
  <si>
    <t>Cash flow from equity financing</t>
  </si>
  <si>
    <t>Note F</t>
  </si>
  <si>
    <t>Free cahs flow from the Firm</t>
  </si>
  <si>
    <t>FINANCIAL LIBAILITIES</t>
  </si>
  <si>
    <t>Loans to exporters</t>
  </si>
  <si>
    <t>Note 2</t>
  </si>
  <si>
    <t>growth (revenues/recivables)</t>
  </si>
  <si>
    <t>Note 3,4</t>
  </si>
  <si>
    <t>growth (FCF needs)</t>
  </si>
  <si>
    <t>Guaranteed obligations and other</t>
  </si>
  <si>
    <t>Note 1,5</t>
  </si>
  <si>
    <t>Subtotal bank loans</t>
  </si>
  <si>
    <t>aggregated growth</t>
  </si>
  <si>
    <t>Obligation with the public</t>
  </si>
  <si>
    <t>Note 6</t>
  </si>
  <si>
    <t>Financial leases + Lease Liabilties</t>
  </si>
  <si>
    <t>Note 7</t>
  </si>
  <si>
    <t>Note 9</t>
  </si>
  <si>
    <t>Hedge and other derviaves</t>
  </si>
  <si>
    <t>Note 8</t>
  </si>
  <si>
    <t>growth (revenues)</t>
  </si>
  <si>
    <t>Total Financial liabilties</t>
  </si>
  <si>
    <t>Cash flow form debt finaincing</t>
  </si>
  <si>
    <t>FORWARD LOOKING COST OF DEBT</t>
  </si>
  <si>
    <t>Risk Free</t>
  </si>
  <si>
    <t>Defualt credit spread</t>
  </si>
  <si>
    <t>Pre-tax cost of debt</t>
  </si>
  <si>
    <t>FINANCIAL EXPENSES</t>
  </si>
  <si>
    <t>Bank loan interest</t>
  </si>
  <si>
    <t>Financial Lease + Lease Liabilties</t>
  </si>
  <si>
    <t>Other financial debt</t>
  </si>
  <si>
    <t>Total</t>
  </si>
  <si>
    <t>Parent Share capital</t>
  </si>
  <si>
    <t>Note G</t>
  </si>
  <si>
    <t>Parent Retained earnings/(losses)</t>
  </si>
  <si>
    <t>Note H</t>
  </si>
  <si>
    <t>Parent Treasury Shares</t>
  </si>
  <si>
    <t>Parent Other reserves</t>
  </si>
  <si>
    <t>Note I</t>
  </si>
  <si>
    <t>Total Parent Equity</t>
  </si>
  <si>
    <t>Non-controlling interests Share Capital</t>
  </si>
  <si>
    <t>Non ctronlling retained earnings+others</t>
  </si>
  <si>
    <t>Total Non controlling itnerests</t>
  </si>
  <si>
    <t>Total equity</t>
  </si>
  <si>
    <t>Share capital total</t>
  </si>
  <si>
    <t>Retianed earnings total</t>
  </si>
  <si>
    <t>N° of shares (Units)</t>
  </si>
  <si>
    <t>Note J</t>
  </si>
  <si>
    <t>Book value of shares (US$ Units)</t>
  </si>
  <si>
    <t>Market Value of shares (US$ unites Latam forecast)</t>
  </si>
  <si>
    <t>NA</t>
  </si>
  <si>
    <t>Market Cap (latam forecast)</t>
  </si>
  <si>
    <t>INCOME STATEMENT</t>
  </si>
  <si>
    <t>Net Income</t>
  </si>
  <si>
    <t>Input: net Income</t>
  </si>
  <si>
    <t>reatined Earnings (Loss)</t>
  </si>
  <si>
    <t>Dividends</t>
  </si>
  <si>
    <t>Payout ratio</t>
  </si>
  <si>
    <t>Note K</t>
  </si>
  <si>
    <t>Cash and Cash equivalents beofre debt rpayment (debt financing)</t>
  </si>
  <si>
    <t>Average excess cash</t>
  </si>
  <si>
    <t>Note L</t>
  </si>
  <si>
    <t xml:space="preserve">growth revenues </t>
  </si>
  <si>
    <t>Cash available for debt repayment (need from debt financing)</t>
  </si>
  <si>
    <t>Cash after debt repayment (financing)</t>
  </si>
  <si>
    <t>CAPITAL STRUCTURE</t>
  </si>
  <si>
    <t>Book Value of Equity</t>
  </si>
  <si>
    <t>Net Debt</t>
  </si>
  <si>
    <t>NetDebt/Book</t>
  </si>
  <si>
    <t>Makret Value of Equity (latam forecast)</t>
  </si>
  <si>
    <t>NetDebt/market (Latam forecast)</t>
  </si>
  <si>
    <t>ebitdar</t>
  </si>
  <si>
    <t>NOTES</t>
  </si>
  <si>
    <t>NetDebt/Ebitdar</t>
  </si>
  <si>
    <t>Note 1: to understand financial liabilities, equity and cash dynamics, look at the sheet Cap_Inc where it's described the effect of the captial icnrease on the capital strcutre.</t>
  </si>
  <si>
    <t>Note 2: by exiting from Chapter 11 and recoverying its ordinary volume of operations, Latam will proabably increase their use of export fiancing, starting from 2022 and then gowing with the amount of revenues and recivables.</t>
  </si>
  <si>
    <t>Revenues</t>
  </si>
  <si>
    <t>Note 3: the majority of the extraordinary amount of bank loans settled up to cover cash needs during pandemic crisis expired in 2020 and 2021, thus we cna assume non-current bank loans remain nearly constant to the level fo 3Q 2022.</t>
  </si>
  <si>
    <t>Note 4: if free cahs flow form operations, especially in the frist years, are nto eough to cover Capital expenditre adn Workign capital increases, as Latam wil have to  establish its capcity by purchasing new planes, we will assume Bank loans will be the main instrument to cover these cash needs.</t>
  </si>
  <si>
    <t>Note5: Majority of other guaranteed liabilties are expiring within 2022, therefore we assume the level at 31th december 2022 to be equal to the non-current portion fo 3Q 22 and then decreasing over time as obligations expire</t>
  </si>
  <si>
    <t>Note 6: Obligations with the public are two bonds: one of USD 500m that expires between 2 and 4 years, the other expires over 5 years fro USD 340m. As publci financing is channel used by Latam, we can assume it will issue new debt once it's expired. We expect coprate bond rates  to reach acceptable amounts fro Latam within expiring bond dates, as Latam will have probably reached a less risky capital structure.</t>
  </si>
  <si>
    <t>Note 7: Financial leases and lease liabilties are linked to the purchase of the right-of-use assets, mainly aircraft, their growth is linked to the changes in fleet. They decreased in 2021 due to the rejection in lease contracts, but they are expcted to grow in the future.</t>
  </si>
  <si>
    <t>Right of Use assets Gross Book Value</t>
  </si>
  <si>
    <t>Delta right of use assets Gross Book Value</t>
  </si>
  <si>
    <t>Debt repayment of Lease Liabilities</t>
  </si>
  <si>
    <t>Increase in Lease Libailties and Financial Liabilties</t>
  </si>
  <si>
    <t>Note 8: While in 2020 and 2021 no hedging strategies where implmented by latam, as demontrated by the fixed amount of hedge liabilties, we expect hedgiing activites will be settle in the future years, thus we assume a normal amount of hedgin liabilties coherent with 2019, and fixing its growht as revenues increases</t>
  </si>
  <si>
    <t>Note A: we input free cahs flwo evered hsitrical becase that'swhat we ahve calculted</t>
  </si>
  <si>
    <t xml:space="preserve">Note B: Bank loans are the most exposed to  the risk premiumms, as they are negotiated more frequenlty, depsite filing for Ch. 11 other debt instruments are less sensible  in the short term to the debt risk of Latam. Therefore we assume debt risk premium of Latam on bank loans decreasing gradually arriving to 2019 level in 2023. </t>
  </si>
  <si>
    <t>Note C: as lease laibilties are covered by the aassets leased, their risk premium is lower than unsecured debt, an pretty cosntant towards the time, we can assume it keep cosntat at 2019 evel in the future years.</t>
  </si>
  <si>
    <t>Note D: the effective rates on public bonds are 4.81% and 7.16% depending on the matrity of the debt and the negotiation we assume in the future ana verage  fo these two aorund 6%</t>
  </si>
  <si>
    <t>Note E for simplicity we apply the marignal tax rate of the chile: 27%</t>
  </si>
  <si>
    <t>Note F: we assume an average payout ratio of 25%</t>
  </si>
  <si>
    <t>Note G: the increase in capital is given from 3Q 2022 release</t>
  </si>
  <si>
    <t>Note H the increase in captial  is used to cover reatined losses</t>
  </si>
  <si>
    <t>Note I: the increas ein captial is used to carry back reserves to the level of 2018</t>
  </si>
  <si>
    <t>Note J: with the issuance of the new shares, and the use of new capital increase to cover retained earnings and negative reserves, the book value per share decreases by almost 100%. As we assumme Latam will cover retianed earnings and reserves by reducing the book value of shares and not by  redeem  existing shares.</t>
  </si>
  <si>
    <t xml:space="preserve">Note K: In normal operations years, Latam stated that they expect their working capital to  be sufficient to meet their liquidity requirement. Thus indicating their cash and cash equivalents being entirely excess cash. </t>
  </si>
  <si>
    <t>Note L: Latam tends to keep their excess cash constant voer time: when positive cash flows from operations tend to increase it, they repay debt for a similar amount. Conversely when negative cahs flow from operations tend to decrease excess cahs, they draw from RCF to gain more liquidity. We assume excess cahs to be constant and equivalennt to the average  fo the alst 3 years, while the exeeding aprt is avialble for debt repaymemnt</t>
  </si>
  <si>
    <t>Item</t>
  </si>
  <si>
    <t>ASSETS</t>
  </si>
  <si>
    <t>Cash, and cash equivalents</t>
  </si>
  <si>
    <t>Other financial assets</t>
  </si>
  <si>
    <t>Other non-financial assets</t>
  </si>
  <si>
    <t>Trade and other accounts receivable</t>
  </si>
  <si>
    <t>Accounts receivable from related entities</t>
  </si>
  <si>
    <t>Inventories</t>
  </si>
  <si>
    <t>Tax assets</t>
  </si>
  <si>
    <t>Non- current assets and disposal groups held for sale</t>
  </si>
  <si>
    <t>TOTAL CURRENT ASSETS</t>
  </si>
  <si>
    <t xml:space="preserve">Property and equipment </t>
  </si>
  <si>
    <t>Goodwill</t>
  </si>
  <si>
    <t>Intangible assets other than goodwill</t>
  </si>
  <si>
    <t xml:space="preserve">Other non- current assets </t>
  </si>
  <si>
    <t>TOTAL NON-CURRENT ASSETS</t>
  </si>
  <si>
    <t>LIABILITIES AND SHAREHOLDERS' EQUITY</t>
  </si>
  <si>
    <t>Other financial liabilities</t>
  </si>
  <si>
    <t>Trade and other accounts payables</t>
  </si>
  <si>
    <t>Tax liabilities</t>
  </si>
  <si>
    <t>Other non-financial liabilities</t>
  </si>
  <si>
    <t>TOTAL CURRENT LIABILITIES</t>
  </si>
  <si>
    <t>Accounts payable</t>
  </si>
  <si>
    <t>Other provisions</t>
  </si>
  <si>
    <t>Deferred tax liabilities</t>
  </si>
  <si>
    <t>Employee benefits</t>
  </si>
  <si>
    <t>TOTAL NON-CURRENT LIABILITIES</t>
  </si>
  <si>
    <t>TOTAL LIABILITIES</t>
  </si>
  <si>
    <t>Share capital</t>
  </si>
  <si>
    <t>Retained earnings</t>
  </si>
  <si>
    <t>Treasury Shares</t>
  </si>
  <si>
    <t>Other reserves</t>
  </si>
  <si>
    <t>Equity attributable to the parent company’s equity holders</t>
  </si>
  <si>
    <t xml:space="preserve">Minority interest </t>
  </si>
  <si>
    <t>TOTAL NET EQUITY</t>
  </si>
  <si>
    <t>Balance Sheet</t>
  </si>
  <si>
    <t>(in US$ millions except per share  and capital stock data)</t>
  </si>
  <si>
    <t>Balance Sheet Data Reformulated</t>
  </si>
  <si>
    <t>NET ASSETS</t>
  </si>
  <si>
    <t>Net Invested Capital</t>
  </si>
  <si>
    <t>Trade and other account payables</t>
  </si>
  <si>
    <t>Tax assets net of tax liabilities</t>
  </si>
  <si>
    <t>Provisions</t>
  </si>
  <si>
    <t>Other non-financial Liabilties</t>
  </si>
  <si>
    <t>Net Working Capital</t>
  </si>
  <si>
    <t>Financial assets</t>
  </si>
  <si>
    <t>Property, plant and equipment</t>
  </si>
  <si>
    <t>Net Surplus Assets</t>
  </si>
  <si>
    <t>Non-current assets (or disposal groups) classified as held for sale</t>
  </si>
  <si>
    <t xml:space="preserve">Liabilities included in disposal groups classified as held for sale </t>
  </si>
  <si>
    <t>Net non-current assets (or disposal groups) classified as held for sale</t>
  </si>
  <si>
    <t>Net Invested Capital + Net Surplus Assets</t>
  </si>
  <si>
    <t>Retained earnings/(losses)</t>
  </si>
  <si>
    <t>Parent’s ownership interest</t>
  </si>
  <si>
    <t>Non-controlling interest</t>
  </si>
  <si>
    <t>Total Equity</t>
  </si>
  <si>
    <t>NET FINANCIAL POSITION</t>
  </si>
  <si>
    <t>Total Financial Liabilities</t>
  </si>
  <si>
    <t>Cash and cash equivalents</t>
  </si>
  <si>
    <t>Net Financial Position</t>
  </si>
  <si>
    <t>Equity+Net Financial Position</t>
  </si>
  <si>
    <t>CAPEX</t>
  </si>
  <si>
    <t>Fleet reduction until 2022</t>
  </si>
  <si>
    <t>Amortization</t>
  </si>
  <si>
    <t>1) Rejection of 26 aircraft</t>
  </si>
  <si>
    <t>Cash fleet capex</t>
  </si>
  <si>
    <t>2) Retirement of 11 older NB</t>
  </si>
  <si>
    <t>Non cash fleet capex</t>
  </si>
  <si>
    <t>3) 15 B767s taken out of operation</t>
  </si>
  <si>
    <t>Non Fleet capex</t>
  </si>
  <si>
    <t>Note 15</t>
  </si>
  <si>
    <t xml:space="preserve"> - Intangibles Assets Other than goodwill</t>
  </si>
  <si>
    <t>4) Addition of 8 new leases into the fleet (2 A320, 1 B787-9)</t>
  </si>
  <si>
    <t>Others</t>
  </si>
  <si>
    <t>As 31 December 2021</t>
  </si>
  <si>
    <t>As December 31 2021</t>
  </si>
  <si>
    <t>Investment cash flow</t>
  </si>
  <si>
    <t>Airport Slot</t>
  </si>
  <si>
    <t>Fleet Simplification</t>
  </si>
  <si>
    <t>Capex</t>
  </si>
  <si>
    <t>Loyalty programs</t>
  </si>
  <si>
    <t>1) withdrawal of 1 WB fleet type (A350)</t>
  </si>
  <si>
    <t>Computer software</t>
  </si>
  <si>
    <t>2) Consolidation of Brazil operation with B77 and B787</t>
  </si>
  <si>
    <t>Aircraft Type</t>
  </si>
  <si>
    <t>Fleet as petition date</t>
  </si>
  <si>
    <t>Net +/-</t>
  </si>
  <si>
    <t>End of the year fleet</t>
  </si>
  <si>
    <t>Developing software</t>
  </si>
  <si>
    <t>f2023</t>
  </si>
  <si>
    <t>f2024</t>
  </si>
  <si>
    <t>f2025</t>
  </si>
  <si>
    <t>f2026</t>
  </si>
  <si>
    <t>f2027</t>
  </si>
  <si>
    <t>Trademarks (1)</t>
  </si>
  <si>
    <t>Source updated BP June 2022</t>
  </si>
  <si>
    <t>Narrow Body</t>
  </si>
  <si>
    <t>Other assets</t>
  </si>
  <si>
    <t>A319</t>
  </si>
  <si>
    <t>Total assets</t>
  </si>
  <si>
    <t>A320</t>
  </si>
  <si>
    <t>A320 neo</t>
  </si>
  <si>
    <t>Amortization Computer software</t>
  </si>
  <si>
    <t>A321</t>
  </si>
  <si>
    <t>Value</t>
  </si>
  <si>
    <t>A321 neo</t>
  </si>
  <si>
    <t>A321 XLR</t>
  </si>
  <si>
    <t>Capex Computer softwares</t>
  </si>
  <si>
    <t>Δ</t>
  </si>
  <si>
    <t>Wide body</t>
  </si>
  <si>
    <t>A350</t>
  </si>
  <si>
    <t>B767</t>
  </si>
  <si>
    <t>B777</t>
  </si>
  <si>
    <t>B78-8</t>
  </si>
  <si>
    <t>B787-9</t>
  </si>
  <si>
    <t>Pax fleet</t>
  </si>
  <si>
    <t>Freighter</t>
  </si>
  <si>
    <t xml:space="preserve">Total Fleet </t>
  </si>
  <si>
    <t>(-) Pending sales</t>
  </si>
  <si>
    <t>(-) pending Conversions</t>
  </si>
  <si>
    <t>Operational Fleet</t>
  </si>
  <si>
    <t>a</t>
  </si>
  <si>
    <t>b</t>
  </si>
  <si>
    <t>c</t>
  </si>
  <si>
    <t>d</t>
  </si>
  <si>
    <t>e</t>
  </si>
  <si>
    <t>f</t>
  </si>
  <si>
    <t>g</t>
  </si>
  <si>
    <t>h</t>
  </si>
  <si>
    <t>i</t>
  </si>
  <si>
    <t>l</t>
  </si>
  <si>
    <t>2024 Cabin Retrofit</t>
  </si>
  <si>
    <t>Gross Book Value</t>
  </si>
  <si>
    <t>Acumulated Depreciation</t>
  </si>
  <si>
    <t>Net Book Value</t>
  </si>
  <si>
    <t>Construction in progress</t>
  </si>
  <si>
    <t>Land</t>
  </si>
  <si>
    <t>Buildings</t>
  </si>
  <si>
    <t>Plant and equipment</t>
  </si>
  <si>
    <t>Machinery</t>
  </si>
  <si>
    <t>ITE</t>
  </si>
  <si>
    <t>Fixed installations and accessories</t>
  </si>
  <si>
    <t>Motor veichles</t>
  </si>
  <si>
    <t>Lesehold improvements</t>
  </si>
  <si>
    <t>subtotal PPE</t>
  </si>
  <si>
    <t>ROU and other assets</t>
  </si>
  <si>
    <t xml:space="preserve">Subtotal </t>
  </si>
  <si>
    <t>aerei</t>
  </si>
  <si>
    <t>2022-2029</t>
  </si>
  <si>
    <t>Depreciation</t>
  </si>
  <si>
    <t>2 boing 787</t>
  </si>
  <si>
    <t>2023-2024</t>
  </si>
  <si>
    <t>8 Airbus A320</t>
  </si>
  <si>
    <t>1 B787</t>
  </si>
  <si>
    <t>2 AB A320</t>
  </si>
  <si>
    <t>own aircrafts</t>
  </si>
  <si>
    <t>Other</t>
  </si>
  <si>
    <t>ROU</t>
  </si>
  <si>
    <t>Aircraft</t>
  </si>
  <si>
    <t>Other Assets</t>
  </si>
  <si>
    <t>Total Depreciation</t>
  </si>
  <si>
    <t>Latam Forecast</t>
  </si>
  <si>
    <t>Δforecast</t>
  </si>
  <si>
    <t>Non Fleet Capex</t>
  </si>
  <si>
    <t>Intangible Capex</t>
  </si>
  <si>
    <t>Total Capex</t>
  </si>
  <si>
    <t>Capex Latam</t>
  </si>
  <si>
    <t>REVENUES 000$</t>
  </si>
  <si>
    <t>Net Passenger Revenue</t>
  </si>
  <si>
    <t>Net Cargo Revenue</t>
  </si>
  <si>
    <t>OPERATING INCOME (LOSS)</t>
  </si>
  <si>
    <t>Operating Margin</t>
  </si>
  <si>
    <t>EBITDAR</t>
  </si>
  <si>
    <t>EBITDAR margin</t>
  </si>
  <si>
    <t>EBITDA</t>
  </si>
  <si>
    <t>EBITDA Margin</t>
  </si>
  <si>
    <t>EBIT</t>
  </si>
  <si>
    <t>EBIT Margin</t>
  </si>
  <si>
    <t>OTHER INCOME ( EXPENSE )</t>
  </si>
  <si>
    <t>Interest Expense Gross</t>
  </si>
  <si>
    <t>Tax shield</t>
  </si>
  <si>
    <t>Interest expense net</t>
  </si>
  <si>
    <t>PROFIT BEFORE TAX AND MINORITY INTEREST</t>
  </si>
  <si>
    <t>Income Tax Expense</t>
  </si>
  <si>
    <t>PROFIT BEFORE MINORITY INTEREST</t>
  </si>
  <si>
    <t>Attributable  to:</t>
  </si>
  <si>
    <t>Shareholders</t>
  </si>
  <si>
    <t>Minority Interest</t>
  </si>
  <si>
    <t>PROFIT FOR THE YEAR</t>
  </si>
  <si>
    <t>Net Margin</t>
  </si>
  <si>
    <t>2028 FF</t>
  </si>
  <si>
    <t>2029 FF</t>
  </si>
  <si>
    <t>2030 FF</t>
  </si>
  <si>
    <t>2031 FF</t>
  </si>
  <si>
    <t>2032 FF</t>
  </si>
  <si>
    <t>2033 FF</t>
  </si>
  <si>
    <t>2034 FF</t>
  </si>
  <si>
    <t>2035 FF</t>
  </si>
  <si>
    <t>2036 FF</t>
  </si>
  <si>
    <t>2037 FF</t>
  </si>
  <si>
    <t xml:space="preserve"> -ΔWC</t>
  </si>
  <si>
    <t xml:space="preserve"> -taxes</t>
  </si>
  <si>
    <t>substitution in payment</t>
  </si>
  <si>
    <t>Cash Flow from operations</t>
  </si>
  <si>
    <t>Target</t>
  </si>
  <si>
    <t xml:space="preserve"> -capex</t>
  </si>
  <si>
    <t>Decrescita</t>
  </si>
  <si>
    <t>FCF</t>
  </si>
  <si>
    <t>Start</t>
  </si>
  <si>
    <t>Adjusted Free cash flow</t>
  </si>
  <si>
    <t>Financing Flow</t>
  </si>
  <si>
    <t xml:space="preserve">Δcash </t>
  </si>
  <si>
    <t>Enterprise Value</t>
  </si>
  <si>
    <t>(+) Net Debt (Financial liab. - Cash &amp; equivalents)</t>
  </si>
  <si>
    <t>(-) Net Debt</t>
  </si>
  <si>
    <t>(-) Other Financial assets (current and non-current)</t>
  </si>
  <si>
    <t>(-) Other Debt-like Items / Employee benefits</t>
  </si>
  <si>
    <t>(+) Other debt-like items (Employee benefits)</t>
  </si>
  <si>
    <t>(+) Other Financial Assets</t>
  </si>
  <si>
    <t>175,714,000</t>
  </si>
  <si>
    <t>Amm.to</t>
  </si>
  <si>
    <t>(+) Minority Interests</t>
  </si>
  <si>
    <t>(-) Minority Interests</t>
  </si>
  <si>
    <t>coeff. Amm.to</t>
  </si>
  <si>
    <t>(-) Investments in associates</t>
  </si>
  <si>
    <t>(+) Investments in Associates</t>
  </si>
  <si>
    <t>Equity Value Implied</t>
  </si>
  <si>
    <t>Prezzo per share</t>
  </si>
  <si>
    <t>Market cap</t>
  </si>
  <si>
    <t>CamBio pesos USD</t>
  </si>
  <si>
    <t>Market Cap USD</t>
  </si>
  <si>
    <t>2022e</t>
  </si>
  <si>
    <t>SUMMARY OUTPUT</t>
  </si>
  <si>
    <t>Regression Statistics</t>
  </si>
  <si>
    <t>Deferred Revenues current</t>
  </si>
  <si>
    <t>Multiple R</t>
  </si>
  <si>
    <t>Deferred Revenues non-current</t>
  </si>
  <si>
    <t>Deferred</t>
  </si>
  <si>
    <t>Receivables (Y)</t>
  </si>
  <si>
    <t>R Square</t>
  </si>
  <si>
    <t>Deferred Revenues total</t>
  </si>
  <si>
    <t>Adjusted R Square</t>
  </si>
  <si>
    <t>Standard Error</t>
  </si>
  <si>
    <t>Receivables (1)</t>
  </si>
  <si>
    <t>Deferred non-curr (t) /Revenues(t)</t>
  </si>
  <si>
    <t>Observations</t>
  </si>
  <si>
    <t>Deferred current (t) /Revenues(t)</t>
  </si>
  <si>
    <t>FINAL ANALYSIS RECEIVABLES</t>
  </si>
  <si>
    <t>ANOVA</t>
  </si>
  <si>
    <t>DDR t</t>
  </si>
  <si>
    <t>df</t>
  </si>
  <si>
    <t>SS</t>
  </si>
  <si>
    <t>MS</t>
  </si>
  <si>
    <t>F</t>
  </si>
  <si>
    <t>Significance F</t>
  </si>
  <si>
    <t>DDR t+1</t>
  </si>
  <si>
    <t>Regression</t>
  </si>
  <si>
    <t>Receivables (2)</t>
  </si>
  <si>
    <t>Residual</t>
  </si>
  <si>
    <t>Credit Loss</t>
  </si>
  <si>
    <t>Trade accounts receivable</t>
  </si>
  <si>
    <t>Other accounts receivable</t>
  </si>
  <si>
    <t>Net receivables (2)</t>
  </si>
  <si>
    <t>Total Receivable</t>
  </si>
  <si>
    <t>Coefficients</t>
  </si>
  <si>
    <t>t Stat</t>
  </si>
  <si>
    <t>P-value</t>
  </si>
  <si>
    <t>Lower 95%</t>
  </si>
  <si>
    <t>Upper 95%</t>
  </si>
  <si>
    <t>Lower 95.0%</t>
  </si>
  <si>
    <t>Upper 95.0%</t>
  </si>
  <si>
    <t>Credit loss</t>
  </si>
  <si>
    <t>Intercept</t>
  </si>
  <si>
    <t>Credit loss %</t>
  </si>
  <si>
    <t>Total Revenues</t>
  </si>
  <si>
    <t>DSO</t>
  </si>
  <si>
    <t>1Q13</t>
  </si>
  <si>
    <t>2Q13</t>
  </si>
  <si>
    <t>3Q13</t>
  </si>
  <si>
    <t>4Q13</t>
  </si>
  <si>
    <t>1Q14</t>
  </si>
  <si>
    <t>2Q14</t>
  </si>
  <si>
    <t>3Q14</t>
  </si>
  <si>
    <t>4Q14</t>
  </si>
  <si>
    <t>1Q15</t>
  </si>
  <si>
    <t>2Q15</t>
  </si>
  <si>
    <t>3Q15</t>
  </si>
  <si>
    <t>4Q15</t>
  </si>
  <si>
    <t>1Q16</t>
  </si>
  <si>
    <t>2Q16</t>
  </si>
  <si>
    <t>3Q16</t>
  </si>
  <si>
    <t>4Q16</t>
  </si>
  <si>
    <t>1Q17</t>
  </si>
  <si>
    <t>2Q17</t>
  </si>
  <si>
    <t>3Q17</t>
  </si>
  <si>
    <t>4Q17</t>
  </si>
  <si>
    <t>1Q18</t>
  </si>
  <si>
    <t>2Q18</t>
  </si>
  <si>
    <t>3Q18</t>
  </si>
  <si>
    <t>4Q18</t>
  </si>
  <si>
    <t>1Q19</t>
  </si>
  <si>
    <t>2Q19</t>
  </si>
  <si>
    <t>3Q19</t>
  </si>
  <si>
    <t>4Q19</t>
  </si>
  <si>
    <t>1Q20</t>
  </si>
  <si>
    <t>2Q20</t>
  </si>
  <si>
    <t>3Q20</t>
  </si>
  <si>
    <t>4Q20</t>
  </si>
  <si>
    <t>1Q21</t>
  </si>
  <si>
    <t>2Q21</t>
  </si>
  <si>
    <t>3Q21</t>
  </si>
  <si>
    <t>4Q21</t>
  </si>
  <si>
    <t>1Q22</t>
  </si>
  <si>
    <t>2Q22</t>
  </si>
  <si>
    <t>non-current</t>
  </si>
  <si>
    <t>DDR</t>
  </si>
  <si>
    <t>AVERAGE DDR</t>
  </si>
  <si>
    <t xml:space="preserve">/365 = </t>
  </si>
  <si>
    <t>OTHER NON-FINANCIAL ASSETS</t>
  </si>
  <si>
    <t>Current</t>
  </si>
  <si>
    <t>Non-current</t>
  </si>
  <si>
    <t>Total revenues</t>
  </si>
  <si>
    <t>TRADE PAYABLES</t>
  </si>
  <si>
    <t>Commissions to agents</t>
  </si>
  <si>
    <t>Other Operating Expenses</t>
  </si>
  <si>
    <t>DPO</t>
  </si>
  <si>
    <t/>
  </si>
  <si>
    <t>AVG</t>
  </si>
  <si>
    <t>2012</t>
  </si>
  <si>
    <t>DIO</t>
  </si>
  <si>
    <t>IFRS 16 ACCOUNTING STANDARD (NON-AUDITED)</t>
  </si>
  <si>
    <t>PROFIT AND LOSS</t>
  </si>
  <si>
    <t>Unit</t>
  </si>
  <si>
    <t>1Q11</t>
  </si>
  <si>
    <t>2Q11</t>
  </si>
  <si>
    <t>3Q11</t>
  </si>
  <si>
    <t>4Q11</t>
  </si>
  <si>
    <t>2011</t>
  </si>
  <si>
    <t>1Q12</t>
  </si>
  <si>
    <t>2Q12</t>
  </si>
  <si>
    <t>3Q12</t>
  </si>
  <si>
    <t>4Q12</t>
  </si>
  <si>
    <t>3Q22</t>
  </si>
  <si>
    <t>REVENUES</t>
  </si>
  <si>
    <t>US$ 000</t>
  </si>
  <si>
    <t>%</t>
  </si>
  <si>
    <t>EBITDAR Margin</t>
  </si>
  <si>
    <t>Interest Income</t>
  </si>
  <si>
    <t>Interest Expense</t>
  </si>
  <si>
    <t>Others Income/(Expense)</t>
  </si>
  <si>
    <t xml:space="preserve">TOTAL </t>
  </si>
  <si>
    <t xml:space="preserve">Note:  As announced August 21, 2013, LATAM has identified certain errors in the TAM historical financial statements which occurred in 2012 and prior periods.  The 2012 quarterly consolidated pro forma income statements above have been retroactively revised to correct these errors and to reflect other nominal adjustments, including the final purchase price allocation relating to the merger with TAM.  No adjustment has been made to the 2011 consolidated quarterly pro forma income statements, pending a final determination of the magnitude of the errors in 2011.  </t>
  </si>
  <si>
    <t>The 2012 quarterly consolidated pro forma income statements above have been retroactively revised to correct these errors and to reflect other nominal adjustments, including the final purchase price allocation relating to the combination with TAM. </t>
  </si>
  <si>
    <t xml:space="preserve"> No adjustment has been made to the 2011 consolidated quarterly pro forma income statements, pending a final determination of the magnitude of the errors in 2011.  </t>
  </si>
  <si>
    <t>OPERATING STATISTICS</t>
  </si>
  <si>
    <t>Passenger</t>
  </si>
  <si>
    <t>ASKs</t>
  </si>
  <si>
    <t>millions</t>
  </si>
  <si>
    <t xml:space="preserve">RPKs  </t>
  </si>
  <si>
    <t>Load Factor (based on ASKs)</t>
  </si>
  <si>
    <t xml:space="preserve">Passenger Transported </t>
  </si>
  <si>
    <t>thousands</t>
  </si>
  <si>
    <t>Fuel Gallons Consumed</t>
  </si>
  <si>
    <t xml:space="preserve">Yield based on RPKs </t>
  </si>
  <si>
    <t>US$ cents</t>
  </si>
  <si>
    <t>Revenues per ASK</t>
  </si>
  <si>
    <t xml:space="preserve">International </t>
  </si>
  <si>
    <t>Domestic Brazil</t>
  </si>
  <si>
    <t>ATKs</t>
  </si>
  <si>
    <t>RTKs</t>
  </si>
  <si>
    <t xml:space="preserve">Load Factor (based on ATKs) </t>
  </si>
  <si>
    <t xml:space="preserve">Tons Transported </t>
  </si>
  <si>
    <t xml:space="preserve">Yield based on RTKs </t>
  </si>
  <si>
    <t>Revenues per ATK</t>
  </si>
  <si>
    <t>Cost per ASK</t>
  </si>
  <si>
    <t>Cost per ASK ex-fuel</t>
  </si>
  <si>
    <t>BALANCE SHEET</t>
  </si>
  <si>
    <t>Assets:</t>
  </si>
  <si>
    <t xml:space="preserve">Total current assets </t>
  </si>
  <si>
    <t xml:space="preserve">Total non- current assets </t>
  </si>
  <si>
    <t>Liabilities and shareholders' equity:</t>
  </si>
  <si>
    <t xml:space="preserve">Total current liabilities </t>
  </si>
  <si>
    <t>Accounts payable to related entities</t>
  </si>
  <si>
    <t>Total non-current liabilities</t>
  </si>
  <si>
    <t>Total liabilities</t>
  </si>
  <si>
    <t>Total net equity</t>
  </si>
  <si>
    <t>CASH FLOW</t>
  </si>
  <si>
    <t>Cash flow from operating activities</t>
  </si>
  <si>
    <t>Cash collections from operating activities</t>
  </si>
  <si>
    <t>Proceeds from sales of goods and services</t>
  </si>
  <si>
    <t>Other cash receipts from operating activities</t>
  </si>
  <si>
    <t>Payments for operating activities</t>
  </si>
  <si>
    <t>Payments to suppliers for goods and services</t>
  </si>
  <si>
    <t>Payments to and on behalf of employees</t>
  </si>
  <si>
    <t>Other payments for operating activities</t>
  </si>
  <si>
    <t>Income Taxes refunded (paid)</t>
  </si>
  <si>
    <t>Other cash inflows (outflows)</t>
  </si>
  <si>
    <t>Net cash flows from operating activities</t>
  </si>
  <si>
    <t>Cash flow used in investing activities</t>
  </si>
  <si>
    <t>Cash flows arising from losing control of subsidiaries or other businesses</t>
  </si>
  <si>
    <t>Cash flows used to gain control of subsidiaries or other businesses</t>
  </si>
  <si>
    <t>Cash flows used in the purchase of non-controlling interest</t>
  </si>
  <si>
    <t>Cash flows utilized to obtain control of subsidiaries or other entities</t>
  </si>
  <si>
    <t>Cash flow used for acquisition of non controlling shares</t>
  </si>
  <si>
    <t>Other cash receipts from  sales of equity or debt instruments of other entities</t>
  </si>
  <si>
    <t>Other payments to acquire equity or debt instruments of other entities</t>
  </si>
  <si>
    <t>Amounts raised from sale of property, plant and equipment</t>
  </si>
  <si>
    <t>Purchases of property, plant and equipment</t>
  </si>
  <si>
    <t>Amounts raised from sale of intangible assets</t>
  </si>
  <si>
    <t>Purchases of intangible assets</t>
  </si>
  <si>
    <t>Cash advances and loans granted to third parties</t>
  </si>
  <si>
    <t>Payment from other long-term assets</t>
  </si>
  <si>
    <t>Interest Received</t>
  </si>
  <si>
    <t>Dividends received</t>
  </si>
  <si>
    <t>Net cash flows used in investing activities</t>
  </si>
  <si>
    <t>Cash flow from (used in) financing activities</t>
  </si>
  <si>
    <t>Amounts raised from issuance of shares</t>
  </si>
  <si>
    <t>Payments to acquire or redeem shares of the entity</t>
  </si>
  <si>
    <t>Payments for changes in ownership interests in subsidiaries that do not result in loss of control</t>
  </si>
  <si>
    <t>Amounts raised from long-term loans</t>
  </si>
  <si>
    <t>Amounts raised from short-term loans</t>
  </si>
  <si>
    <t>Loans from related entities</t>
  </si>
  <si>
    <t>Loans repayment</t>
  </si>
  <si>
    <t>Payments of finance lease liabilities</t>
  </si>
  <si>
    <t>Payments of loans to related entities</t>
  </si>
  <si>
    <t>Dividends paid</t>
  </si>
  <si>
    <t>Interest paid</t>
  </si>
  <si>
    <t>Net cash flows from (used in) financing activities</t>
  </si>
  <si>
    <t xml:space="preserve">Net increase (decrease) in cash and cash equivalents before effect of exchange rate changes </t>
  </si>
  <si>
    <t>Effects of variations in the exchange rate on cash and equivalents</t>
  </si>
  <si>
    <t>Net increase (decrease) in cash and cash equivalents</t>
  </si>
  <si>
    <t>CASH AND CASH EQUIVALENTS AT BEGINNING OF PERIOD</t>
  </si>
  <si>
    <t>CASH AND CASH EQUIVALENTS AT END OF PERIOD</t>
  </si>
  <si>
    <t>Total ASK</t>
  </si>
  <si>
    <t>Total RPK</t>
  </si>
  <si>
    <t>International % ASK</t>
  </si>
  <si>
    <t>Brazil % ASK</t>
  </si>
  <si>
    <t>SSC % ASK</t>
  </si>
  <si>
    <t>Operating Income International</t>
  </si>
  <si>
    <t xml:space="preserve">Operating Income Brazil </t>
  </si>
  <si>
    <t>Operating income SSC</t>
  </si>
  <si>
    <t>Totale operating Revenue</t>
  </si>
  <si>
    <t>FRED Graph Observations</t>
  </si>
  <si>
    <t>Federal Reserve Economic Data</t>
  </si>
  <si>
    <t>Mean quarterly Growth</t>
  </si>
  <si>
    <t>Link: https://fred.stlouisfed.org</t>
  </si>
  <si>
    <t>Help: https://fredhelp.stlouisfed.org</t>
  </si>
  <si>
    <t>Economic Research Division</t>
  </si>
  <si>
    <t>Mean quarterly Growth Last Years, no COVID</t>
  </si>
  <si>
    <t>Federal Reserve Bank of St. Louis</t>
  </si>
  <si>
    <t>NGDPRNSAXDCBRQ</t>
  </si>
  <si>
    <t>Real Gross Domestic Product for Brazil, Domestic Currency, Quarterly, Not Seasonally Adjusted</t>
  </si>
  <si>
    <t>Frequency: Quarterly</t>
  </si>
  <si>
    <t>observation_date</t>
  </si>
  <si>
    <t>Growth</t>
  </si>
  <si>
    <t>Workbook Contents</t>
  </si>
  <si>
    <t>U.S. Gulf Coast Kerosene-Type Jet Fuel Spot Price FOB (Dollars per Gallon)</t>
  </si>
  <si>
    <t>Click worksheet name or tab at bottom for data</t>
  </si>
  <si>
    <t>Worksheet Name</t>
  </si>
  <si>
    <t># Of Series</t>
  </si>
  <si>
    <t>Frequency</t>
  </si>
  <si>
    <t>Latest Data for</t>
  </si>
  <si>
    <t>Data 1</t>
  </si>
  <si>
    <t>Monthly</t>
  </si>
  <si>
    <t>10/2022</t>
  </si>
  <si>
    <t>Release Date:</t>
  </si>
  <si>
    <t>11/9/2022</t>
  </si>
  <si>
    <t>Next Release Date:</t>
  </si>
  <si>
    <t>11/16/2022</t>
  </si>
  <si>
    <t>Excel File Name:</t>
  </si>
  <si>
    <t>eer_epjk_pf4_rgc_dpgm.xls</t>
  </si>
  <si>
    <t>Available from Web Page:</t>
  </si>
  <si>
    <t>https://www.eia.gov/dnav/pet/hist/LeafHandler.ashx?n=PET&amp;s=EER_EPJK_PF4_RGC_DPG&amp;f=M</t>
  </si>
  <si>
    <t>Source:</t>
  </si>
  <si>
    <t>For Help, Contact:</t>
  </si>
  <si>
    <t>infoctr@eia.doe.gov</t>
  </si>
  <si>
    <t>(202) 586-8800</t>
  </si>
  <si>
    <t>11/9/2022 9:48:10 AM</t>
  </si>
  <si>
    <t>Data 1: U.S. Gulf Coast Kerosene-Type Jet Fuel Spot Price FOB (Dollars per Gallon)</t>
  </si>
  <si>
    <t>Sourcekey</t>
  </si>
  <si>
    <t>EER_EPJK_PF4_RGC_DPG</t>
  </si>
  <si>
    <t>Date</t>
  </si>
  <si>
    <t>Quarterly Mean</t>
  </si>
  <si>
    <t>q4-1999</t>
  </si>
  <si>
    <t>q1-2000</t>
  </si>
  <si>
    <t>q2-2000</t>
  </si>
  <si>
    <t>q3-2000</t>
  </si>
  <si>
    <t>q4-2000</t>
  </si>
  <si>
    <t>q1-2001</t>
  </si>
  <si>
    <t>q2-2001</t>
  </si>
  <si>
    <t>q3-2001</t>
  </si>
  <si>
    <t>q4-2001</t>
  </si>
  <si>
    <t>q1-2002</t>
  </si>
  <si>
    <t>q2-2002</t>
  </si>
  <si>
    <t>q3-2002</t>
  </si>
  <si>
    <t>q4-2002</t>
  </si>
  <si>
    <t>q1-2003</t>
  </si>
  <si>
    <t>q2-2003</t>
  </si>
  <si>
    <t>q3-2003</t>
  </si>
  <si>
    <t>q4-2003</t>
  </si>
  <si>
    <t>q1-2004</t>
  </si>
  <si>
    <t>q2-2004</t>
  </si>
  <si>
    <t>q3-2004</t>
  </si>
  <si>
    <t>q4-2004</t>
  </si>
  <si>
    <t>q1-2005</t>
  </si>
  <si>
    <t>q2-2005</t>
  </si>
  <si>
    <t>q3-2005</t>
  </si>
  <si>
    <t>q4-2005</t>
  </si>
  <si>
    <t>q1-2006</t>
  </si>
  <si>
    <t>q2-2006</t>
  </si>
  <si>
    <t>q3-2006</t>
  </si>
  <si>
    <t>q4-2006</t>
  </si>
  <si>
    <t>q1-2007</t>
  </si>
  <si>
    <t>q2-2007</t>
  </si>
  <si>
    <t>q3-2007</t>
  </si>
  <si>
    <t>q4-2007</t>
  </si>
  <si>
    <t>q1-2008</t>
  </si>
  <si>
    <t>q2-2008</t>
  </si>
  <si>
    <t>q3-2008</t>
  </si>
  <si>
    <t>q4-2008</t>
  </si>
  <si>
    <t>q1-2009</t>
  </si>
  <si>
    <t>q2-2009</t>
  </si>
  <si>
    <t>q3-2009</t>
  </si>
  <si>
    <t>q4-2009</t>
  </si>
  <si>
    <t>q1-2010</t>
  </si>
  <si>
    <t>q2-2010</t>
  </si>
  <si>
    <t>q3-2010</t>
  </si>
  <si>
    <t>q4-2010</t>
  </si>
  <si>
    <t>q1-2011</t>
  </si>
  <si>
    <t>q2-2011</t>
  </si>
  <si>
    <t>q3-2011</t>
  </si>
  <si>
    <t>q4-2011</t>
  </si>
  <si>
    <t>q1-2012</t>
  </si>
  <si>
    <t>q2-2012</t>
  </si>
  <si>
    <t>q3-2012</t>
  </si>
  <si>
    <t>q4-2012</t>
  </si>
  <si>
    <t>q1-2013</t>
  </si>
  <si>
    <t>q2-2013</t>
  </si>
  <si>
    <t>q3-2013</t>
  </si>
  <si>
    <t>q4-2013</t>
  </si>
  <si>
    <t>q1-2014</t>
  </si>
  <si>
    <t>q2-2014</t>
  </si>
  <si>
    <t>q3-2014</t>
  </si>
  <si>
    <t>q4-2014</t>
  </si>
  <si>
    <t>q1-2015</t>
  </si>
  <si>
    <t>q2-2015</t>
  </si>
  <si>
    <t>q3-2015</t>
  </si>
  <si>
    <t>q4-2015</t>
  </si>
  <si>
    <t>q1-2016</t>
  </si>
  <si>
    <t>q2-2016</t>
  </si>
  <si>
    <t>q3-2016</t>
  </si>
  <si>
    <t>q4-2016</t>
  </si>
  <si>
    <t>q1-2017</t>
  </si>
  <si>
    <t>q2-2017</t>
  </si>
  <si>
    <t>q3-2017</t>
  </si>
  <si>
    <t>q4-2017</t>
  </si>
  <si>
    <t>q1-2018</t>
  </si>
  <si>
    <t>q2-2018</t>
  </si>
  <si>
    <t>q3-2018</t>
  </si>
  <si>
    <t>q4-2018</t>
  </si>
  <si>
    <t>q1-2019</t>
  </si>
  <si>
    <t>q2-2019</t>
  </si>
  <si>
    <t>q3-2019</t>
  </si>
  <si>
    <t>q4-2019</t>
  </si>
  <si>
    <t>q1-2020</t>
  </si>
  <si>
    <t>q2-2020</t>
  </si>
  <si>
    <t>q3-2020</t>
  </si>
  <si>
    <t>q4-2020</t>
  </si>
  <si>
    <t>q1-2021</t>
  </si>
  <si>
    <t>q2-2021</t>
  </si>
  <si>
    <t>q3-2021</t>
  </si>
  <si>
    <t>q4-2021</t>
  </si>
  <si>
    <t>q1-2022</t>
  </si>
  <si>
    <t>q2-2022</t>
  </si>
  <si>
    <t>q3-2022</t>
  </si>
  <si>
    <t>RPK</t>
  </si>
  <si>
    <t>GDP</t>
  </si>
  <si>
    <t>Jet Fuel Price dollar per Gallon</t>
  </si>
  <si>
    <t>Ln(RPK)</t>
  </si>
  <si>
    <t>LN(GDP)</t>
  </si>
  <si>
    <t>LN(fuel)</t>
  </si>
  <si>
    <t>LN(jet Fuel_t-1)</t>
  </si>
  <si>
    <t>OUTPUT RIEPILOGO</t>
  </si>
  <si>
    <t>Statistica della regressione</t>
  </si>
  <si>
    <t>R multiplo</t>
  </si>
  <si>
    <t>R al quadrato</t>
  </si>
  <si>
    <t>R al quadrato corretto</t>
  </si>
  <si>
    <t>Errore standard</t>
  </si>
  <si>
    <t>Osservazioni</t>
  </si>
  <si>
    <t>ANALISI VARIANZA</t>
  </si>
  <si>
    <t>gdl</t>
  </si>
  <si>
    <t>SQ</t>
  </si>
  <si>
    <t>MQ</t>
  </si>
  <si>
    <t>Significatività F</t>
  </si>
  <si>
    <t>Regressione</t>
  </si>
  <si>
    <t>Residuo</t>
  </si>
  <si>
    <t>Totale</t>
  </si>
  <si>
    <t>Coefficienti</t>
  </si>
  <si>
    <t>Stat t</t>
  </si>
  <si>
    <t>Valore di significatività</t>
  </si>
  <si>
    <t>Inferiore 95%</t>
  </si>
  <si>
    <t>Superiore 95%</t>
  </si>
  <si>
    <t>Inferiore 95,0%</t>
  </si>
  <si>
    <t>Superiore 95,0%</t>
  </si>
  <si>
    <t>Intercetta</t>
  </si>
  <si>
    <t>Variabile X 1</t>
  </si>
  <si>
    <t>Variabile X 2</t>
  </si>
  <si>
    <t>OUTPUT RESIDUI</t>
  </si>
  <si>
    <t>Osservazione</t>
  </si>
  <si>
    <t>Y prevista</t>
  </si>
  <si>
    <t>Residui</t>
  </si>
  <si>
    <t>Residui standard</t>
  </si>
  <si>
    <t>Q1-2022</t>
  </si>
  <si>
    <t>q4-2022</t>
  </si>
  <si>
    <t>q1-2023</t>
  </si>
  <si>
    <t>q2-2023</t>
  </si>
  <si>
    <t>q3-2023</t>
  </si>
  <si>
    <t>q4-2023</t>
  </si>
  <si>
    <t>q1-2024</t>
  </si>
  <si>
    <t>q2-2024</t>
  </si>
  <si>
    <t>q3-2024</t>
  </si>
  <si>
    <t>q4-2024</t>
  </si>
  <si>
    <t>q1-2025</t>
  </si>
  <si>
    <t>q2-2025</t>
  </si>
  <si>
    <t>q3-2025</t>
  </si>
  <si>
    <t>q4-2025</t>
  </si>
  <si>
    <t>q1-2026</t>
  </si>
  <si>
    <t>q2-2026</t>
  </si>
  <si>
    <t>q3-2026</t>
  </si>
  <si>
    <t>q4-2026</t>
  </si>
  <si>
    <t>q1-2027</t>
  </si>
  <si>
    <t>q2-2027</t>
  </si>
  <si>
    <t>q3-2027</t>
  </si>
  <si>
    <t>q4-2027</t>
  </si>
  <si>
    <t>q1-2028</t>
  </si>
  <si>
    <t>q2-2028</t>
  </si>
  <si>
    <t>q3-2028</t>
  </si>
  <si>
    <t>q4-2028</t>
  </si>
  <si>
    <t>LN(Jet fuel)</t>
  </si>
  <si>
    <t>GDP Brasil</t>
  </si>
  <si>
    <t>Ln(Brasil)</t>
  </si>
  <si>
    <t>Forecast of ln(RPKS)</t>
  </si>
  <si>
    <t>RPKs Forecasted</t>
  </si>
  <si>
    <t>Quarterly sum</t>
  </si>
  <si>
    <t>Forecasted annual series</t>
  </si>
  <si>
    <t xml:space="preserve">Estimate </t>
  </si>
  <si>
    <t>2019 RPks</t>
  </si>
  <si>
    <t>5 Years Implied CAGR</t>
  </si>
  <si>
    <t>8 Years GAGR</t>
  </si>
  <si>
    <t>YEAR</t>
  </si>
  <si>
    <t>RPKs</t>
  </si>
  <si>
    <t>Brazil Domesstic Market</t>
  </si>
  <si>
    <t>RPK Brazil mil</t>
  </si>
  <si>
    <t>historical</t>
  </si>
  <si>
    <t>expected</t>
  </si>
  <si>
    <t>forecast</t>
  </si>
  <si>
    <t>Ano</t>
  </si>
  <si>
    <t>Domestica</t>
  </si>
  <si>
    <t>input</t>
  </si>
  <si>
    <t>rate g</t>
  </si>
  <si>
    <t xml:space="preserve">GOL </t>
  </si>
  <si>
    <t>RPK mil</t>
  </si>
  <si>
    <t>gorwth</t>
  </si>
  <si>
    <t>growth share</t>
  </si>
  <si>
    <t>relative growth share</t>
  </si>
  <si>
    <t>avg relative growth share</t>
  </si>
  <si>
    <t>AZUL</t>
  </si>
  <si>
    <t>relative growht share</t>
  </si>
  <si>
    <t>normalized avg growth share</t>
  </si>
  <si>
    <t>PASSAREDO</t>
  </si>
  <si>
    <t>AVAINCA</t>
  </si>
  <si>
    <t>grwoth</t>
  </si>
  <si>
    <t>grwoth share</t>
  </si>
  <si>
    <t>OTHERS+AVIANCA+PASSAREDO</t>
  </si>
  <si>
    <t>normalized avg relative growth share</t>
  </si>
  <si>
    <t>arbitrary competition</t>
  </si>
  <si>
    <t>SMOOTHED AVERAGE</t>
  </si>
  <si>
    <t>Coeff smoothed avg</t>
  </si>
  <si>
    <t>costants</t>
  </si>
  <si>
    <t>Gross weight</t>
  </si>
  <si>
    <t>Nrmalized weight</t>
  </si>
  <si>
    <t>OUTPUT</t>
  </si>
  <si>
    <t>MKT SHARE</t>
  </si>
  <si>
    <t>AnNo</t>
  </si>
  <si>
    <t>TOTALE</t>
  </si>
  <si>
    <t>RPK LATAM</t>
  </si>
  <si>
    <t>RPK LATAM mil</t>
  </si>
  <si>
    <t>LOW COST CARRIERS</t>
  </si>
  <si>
    <t>AVIANCA</t>
  </si>
  <si>
    <t>Mln of 2017 USD</t>
  </si>
  <si>
    <t>Model: non-lagged with intercept -&gt; Model2)</t>
  </si>
  <si>
    <t xml:space="preserve">SSC GDP </t>
  </si>
  <si>
    <t>DJFUELUSGULF</t>
  </si>
  <si>
    <t>#Pass</t>
  </si>
  <si>
    <t>log(GDP)</t>
  </si>
  <si>
    <t>log(JF_t-1)</t>
  </si>
  <si>
    <t>log(#Pass)</t>
  </si>
  <si>
    <t>Inferiore 95.0%</t>
  </si>
  <si>
    <t>Superiore 95.0%</t>
  </si>
  <si>
    <t>data</t>
  </si>
  <si>
    <t>2000</t>
  </si>
  <si>
    <t>2001</t>
  </si>
  <si>
    <t>2002</t>
  </si>
  <si>
    <t>2003</t>
  </si>
  <si>
    <t>2004</t>
  </si>
  <si>
    <t>2005</t>
  </si>
  <si>
    <t>2006</t>
  </si>
  <si>
    <t>2007</t>
  </si>
  <si>
    <t>2008</t>
  </si>
  <si>
    <t>2009</t>
  </si>
  <si>
    <t>2010</t>
  </si>
  <si>
    <t>2013</t>
  </si>
  <si>
    <t>2014</t>
  </si>
  <si>
    <t>2015</t>
  </si>
  <si>
    <t>2016</t>
  </si>
  <si>
    <t>2017</t>
  </si>
  <si>
    <t>2018</t>
  </si>
  <si>
    <t>2019</t>
  </si>
  <si>
    <t>#Passengers</t>
  </si>
  <si>
    <t>GDP real</t>
  </si>
  <si>
    <t>jet fuel cost</t>
  </si>
  <si>
    <t>year</t>
  </si>
  <si>
    <t>source</t>
  </si>
  <si>
    <t>Passport</t>
  </si>
  <si>
    <t>real gdp colombia</t>
  </si>
  <si>
    <t>real GDP growth SSC</t>
  </si>
  <si>
    <t>colombia g</t>
  </si>
  <si>
    <t>latam bp</t>
  </si>
  <si>
    <t>real gdp chile</t>
  </si>
  <si>
    <t>chile g</t>
  </si>
  <si>
    <t>real gdp perù</t>
  </si>
  <si>
    <t>Year</t>
  </si>
  <si>
    <t>perù g</t>
  </si>
  <si>
    <t>ln(GDP)</t>
  </si>
  <si>
    <t>rela gdp ecuador</t>
  </si>
  <si>
    <t>ln(JF)</t>
  </si>
  <si>
    <t>ecuador g</t>
  </si>
  <si>
    <t>ln(#P) forecasted</t>
  </si>
  <si>
    <t>#P forecasted</t>
  </si>
  <si>
    <t>Estimation</t>
  </si>
  <si>
    <t>%CAGR</t>
  </si>
  <si>
    <t>#P_statista</t>
  </si>
  <si>
    <t>2020</t>
  </si>
  <si>
    <t>CHILE</t>
  </si>
  <si>
    <t>SKY+JETSMART+AEROVIAS+ONE</t>
  </si>
  <si>
    <t>PERU'</t>
  </si>
  <si>
    <t>SKY+STAR+VIVA</t>
  </si>
  <si>
    <t>COLOMBIA</t>
  </si>
  <si>
    <t>VIVA+SATENA+EASYFLY+WINGO</t>
  </si>
  <si>
    <t xml:space="preserve">Number of Passengers </t>
  </si>
  <si>
    <t>TOTAL SCC MARKET</t>
  </si>
  <si>
    <t>growth contribution</t>
  </si>
  <si>
    <t>avg growth contribution</t>
  </si>
  <si>
    <t>AVIANCA COLOMBIA</t>
  </si>
  <si>
    <t>constant</t>
  </si>
  <si>
    <t>weight</t>
  </si>
  <si>
    <t>normalized weight</t>
  </si>
  <si>
    <t>MARKET SHARES</t>
  </si>
  <si>
    <t>output</t>
  </si>
  <si>
    <t>$/BRL</t>
  </si>
  <si>
    <t>Ultimo</t>
  </si>
  <si>
    <t>Variazione</t>
  </si>
  <si>
    <t>Massimo</t>
  </si>
  <si>
    <t>Minimo</t>
  </si>
  <si>
    <t>Cash </t>
  </si>
  <si>
    <t>Dec 22 </t>
  </si>
  <si>
    <t>Jan 23 </t>
  </si>
  <si>
    <t>Feb 23 </t>
  </si>
  <si>
    <t>Mar 23 </t>
  </si>
  <si>
    <t>Apr 23 </t>
  </si>
  <si>
    <t>May 23 </t>
  </si>
  <si>
    <t>Jun 23 </t>
  </si>
  <si>
    <t>Jul 23 </t>
  </si>
  <si>
    <t>Aug 23 </t>
  </si>
  <si>
    <t>Sep 23 </t>
  </si>
  <si>
    <t>Oct 23 </t>
  </si>
  <si>
    <t>Nov 23 </t>
  </si>
  <si>
    <t>Dec 23 </t>
  </si>
  <si>
    <t>Jan 24 </t>
  </si>
  <si>
    <t>Feb 24 </t>
  </si>
  <si>
    <t>Mar 24 </t>
  </si>
  <si>
    <t>Apr 24 </t>
  </si>
  <si>
    <t>May 24 </t>
  </si>
  <si>
    <t>=</t>
  </si>
  <si>
    <t>Jun 24 </t>
  </si>
  <si>
    <t>Jul 24 </t>
  </si>
  <si>
    <t>Aug 24 </t>
  </si>
  <si>
    <t>Sep 24 </t>
  </si>
  <si>
    <t>Oct 24 </t>
  </si>
  <si>
    <t>Nov 24 </t>
  </si>
  <si>
    <t>Dec 24 </t>
  </si>
  <si>
    <t>Jan 25 </t>
  </si>
  <si>
    <t>Feb 25 </t>
  </si>
  <si>
    <t>Mar 25 </t>
  </si>
  <si>
    <t>Apr 25 </t>
  </si>
  <si>
    <t>May 25 </t>
  </si>
  <si>
    <t>Jun 25 </t>
  </si>
  <si>
    <t>Jul 25 </t>
  </si>
  <si>
    <t>Aug 25 </t>
  </si>
  <si>
    <t>Sep 25 </t>
  </si>
  <si>
    <t>Oct 25 </t>
  </si>
  <si>
    <t>Nov 25 </t>
  </si>
  <si>
    <t>Dec 25 </t>
  </si>
  <si>
    <t>Jan 26 </t>
  </si>
  <si>
    <t>Feb 26 </t>
  </si>
  <si>
    <t>Mar 26 </t>
  </si>
  <si>
    <t>Apr 26 </t>
  </si>
  <si>
    <t>May 26 </t>
  </si>
  <si>
    <t>Jun 26 </t>
  </si>
  <si>
    <t>Jul 26 </t>
  </si>
  <si>
    <t>Aug 26 </t>
  </si>
  <si>
    <t>Sep 26 </t>
  </si>
  <si>
    <t>Oct 26 </t>
  </si>
  <si>
    <t>Nov 26 </t>
  </si>
  <si>
    <t>Dec 26 </t>
  </si>
  <si>
    <t>Jan 27 </t>
  </si>
  <si>
    <t>Feb 27 </t>
  </si>
  <si>
    <t>Mar 27 </t>
  </si>
  <si>
    <t>Apr 27 </t>
  </si>
  <si>
    <t>May 27 </t>
  </si>
  <si>
    <t>Jun 27 </t>
  </si>
  <si>
    <t>Jul 27 </t>
  </si>
  <si>
    <t>Aug 27 </t>
  </si>
  <si>
    <t>Sep 27 </t>
  </si>
  <si>
    <t>Oct 27 </t>
  </si>
  <si>
    <t>Nov 27 </t>
  </si>
  <si>
    <t>Cargo Revenues</t>
  </si>
  <si>
    <t>Cargo ATK and RTK</t>
  </si>
  <si>
    <t>ATK</t>
  </si>
  <si>
    <t>Load factor 2012-2015</t>
  </si>
  <si>
    <t>Load factor 2012-2019</t>
  </si>
  <si>
    <t>Load factor %</t>
  </si>
  <si>
    <t>RTK</t>
  </si>
  <si>
    <t xml:space="preserve">RTK CAGR 2020-2027, 7 years </t>
  </si>
  <si>
    <t>Yield per RPk and Revenues</t>
  </si>
  <si>
    <t>Yield Per RPK 2012-2015 (US$ cents)</t>
  </si>
  <si>
    <t>RATK (USD Cents)</t>
  </si>
  <si>
    <t>Yield Per RPK (USD Cents)</t>
  </si>
  <si>
    <t>Revenues mln USD</t>
  </si>
  <si>
    <t>Growth Rates</t>
  </si>
  <si>
    <t>CAGR 2021-2027</t>
  </si>
  <si>
    <t>Correlation between "Revenues per ATK" and  "ATK from dedicated cargo planes %"</t>
  </si>
  <si>
    <r>
      <t xml:space="preserve">The graphs show that the air transport using </t>
    </r>
    <r>
      <rPr>
        <i/>
        <sz val="11"/>
        <color theme="1"/>
        <rFont val="Calibri"/>
        <family val="2"/>
        <scheme val="minor"/>
      </rPr>
      <t>cargo dedicated airplanes</t>
    </r>
    <r>
      <rPr>
        <sz val="11"/>
        <color theme="1"/>
        <rFont val="Calibri"/>
        <family val="2"/>
        <scheme val="minor"/>
      </rPr>
      <t xml:space="preserve"> is more lucrative, intuitevely because the service provided is better. 
However, reasonably, this involves higher cost.</t>
    </r>
  </si>
  <si>
    <t>Correlation between "Total ATK" and  "ATK from dedicated cargo planes %"</t>
  </si>
  <si>
    <t>The graph shows that more cargo dedicated airplanes LATAM has, more its cargo business expands. LATAM's strategy up until 2018 was to lower the number of cargo planes, which resulted in a decrease in its business volume. Beginning in 2019, the firm reevaluated this division and adopted a new strategy.</t>
  </si>
  <si>
    <t>Relation between cargo business and Latin America export</t>
  </si>
  <si>
    <t>The recent devaluation of Latin American currencies as a result of the dollar's increasing strength led to a sharp increase in exports, which also benefited LATAM.</t>
  </si>
  <si>
    <t>Select Country</t>
  </si>
  <si>
    <t>Chile</t>
  </si>
  <si>
    <t>NOTE 1.1</t>
  </si>
  <si>
    <t xml:space="preserve">(Report 2021) LATAM announced a three-year growth plan for the cargo fleet that includes the conversion by Boeing of up to eight Boeing 767-300ER, following which the group would increase its combined cargo capacity by nearly 80%. </t>
  </si>
  <si>
    <t>NOTE 1.2</t>
  </si>
  <si>
    <t>(Report 2022 Q3) Four freighters have already been converted, with the remaining six conversions to take place in 2023 and 2024. Additionally, the company has signed contracts for the sale of two freighters in 2024, and thus expects to reach a total freighter fleet of up to 20 freighters in 2024.</t>
  </si>
  <si>
    <t>Boeing estimates that the air cargo traffic growth 2020-2039 from Latin America to Europe is 4.1% per year, to North America is 2.6%. Since the relative volumes are similar, the average growth of Latin America market will be 3.35%.</t>
  </si>
  <si>
    <t>ATK Forecast</t>
  </si>
  <si>
    <t>Cargo Boeing 767-300F</t>
  </si>
  <si>
    <t>Growth (Base year = 2021)</t>
  </si>
  <si>
    <t>Load factor</t>
  </si>
  <si>
    <t>NOTE 2.</t>
  </si>
  <si>
    <t>(Report 2017) The mix of cargo transported in cargo planes and the bellies of the passenger fleet was 29% and 71%, respectively.</t>
  </si>
  <si>
    <t>This analysis aims to reproduce the information reported above from 2012 to 2022, using information on its fleet.</t>
  </si>
  <si>
    <t>Average seats (estimate)</t>
  </si>
  <si>
    <t>Km. traveled (estimate)</t>
  </si>
  <si>
    <t>Avg. tons capacity of bellies</t>
  </si>
  <si>
    <t>ATK from bellies of the passenger fleet</t>
  </si>
  <si>
    <t>ATK from dedicated cargo planes</t>
  </si>
  <si>
    <t xml:space="preserve">ATK from dedicated cargo planes </t>
  </si>
  <si>
    <t>NOTE 3.</t>
  </si>
  <si>
    <r>
      <t>(LATAM Integrated Report) A large amount of our</t>
    </r>
    <r>
      <rPr>
        <i/>
        <sz val="10"/>
        <rFont val="Calibri"/>
        <family val="2"/>
      </rPr>
      <t xml:space="preserve"> cargo revenue </t>
    </r>
    <r>
      <rPr>
        <sz val="10"/>
        <rFont val="Calibri"/>
        <family val="2"/>
      </rPr>
      <t xml:space="preserve">originates from a few product kinds, which </t>
    </r>
    <r>
      <rPr>
        <i/>
        <sz val="10"/>
        <rFont val="Calibri"/>
        <family val="2"/>
      </rPr>
      <t>may be affected by production, trade, or demand</t>
    </r>
    <r>
      <rPr>
        <sz val="10"/>
        <rFont val="Calibri"/>
        <family val="2"/>
      </rPr>
      <t>. The group's cargo demand is centered in a few product categories, such as fish from Chile, asparagus from Peru, and fresh flowers from Ecuador and Colombia.</t>
    </r>
  </si>
  <si>
    <t>Export of Latin America</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</si>
  <si>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</si>
  <si>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</si>
  <si>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</si>
  <si>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</si>
  <si>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</si>
  <si>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</si>
  <si>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</si>
  <si>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</si>
  <si>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</si>
  <si>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</si>
  <si>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</si>
  <si>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</si>
  <si>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</si>
  <si>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</si>
  <si>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</si>
  <si>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</si>
  <si>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</si>
  <si>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</si>
  <si>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</si>
  <si>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</si>
  <si>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</si>
  <si>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</si>
  <si>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</si>
  <si>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</si>
  <si>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</si>
  <si>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</si>
  <si>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</si>
  <si>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</si>
  <si>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</si>
  <si>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</si>
  <si>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Colombia</t>
  </si>
  <si>
    <t>Ecuador</t>
  </si>
  <si>
    <t>Peru</t>
  </si>
  <si>
    <t>Total Export</t>
  </si>
  <si>
    <t>Result:</t>
  </si>
  <si>
    <t>This research confirms that the current increase in cargo revenues is sustainable, given the dollar's strength appears to represent a long-term trend.</t>
  </si>
  <si>
    <t>NOTE 4.</t>
  </si>
  <si>
    <t>LATAM Yield per RTK depends on the following two variables.</t>
  </si>
  <si>
    <t>Yield of ATK</t>
  </si>
  <si>
    <t>Cargo ATK %</t>
  </si>
  <si>
    <t>A1 Jt Fuel</t>
  </si>
  <si>
    <t>RATK</t>
  </si>
  <si>
    <t>Regression output</t>
  </si>
  <si>
    <t>Adj. R Square</t>
  </si>
  <si>
    <t>Seats</t>
  </si>
  <si>
    <t>Maximum payload</t>
  </si>
  <si>
    <t>Net maximum payload</t>
  </si>
  <si>
    <t>Long-range fleet</t>
  </si>
  <si>
    <t>tonnes</t>
  </si>
  <si>
    <t>(Max - passenger weight)</t>
  </si>
  <si>
    <t>Boeing 737-300</t>
  </si>
  <si>
    <t>Boeing 767-300</t>
  </si>
  <si>
    <t>Boeing 777-300ER</t>
  </si>
  <si>
    <t>Boeing 787-8</t>
  </si>
  <si>
    <t>Boeing 787-9</t>
  </si>
  <si>
    <t>Airbus A350-900</t>
  </si>
  <si>
    <t>Airbus A340-300/500</t>
  </si>
  <si>
    <t>Average seats</t>
  </si>
  <si>
    <t>Average international passengers' weight (tons)</t>
  </si>
  <si>
    <t>Total seats</t>
  </si>
  <si>
    <t>Average availabe payload for cargo (tons)</t>
  </si>
  <si>
    <t>(1)</t>
  </si>
  <si>
    <t>Total availabe payload for cargo (tons)</t>
  </si>
  <si>
    <t>Cargo Fleet</t>
  </si>
  <si>
    <t>(2)</t>
  </si>
  <si>
    <t>Available payload</t>
  </si>
  <si>
    <t>(2) / [(1) + (2)]</t>
  </si>
  <si>
    <t>* Considering the fleet given in the business plan</t>
  </si>
  <si>
    <t>AVERAGE</t>
  </si>
  <si>
    <t>Flotta aerea operativa per programma e modello - Di proprietà</t>
  </si>
  <si>
    <t>Aircraft Operating Fleet - Operating Lease</t>
  </si>
  <si>
    <t>Proprietà</t>
  </si>
  <si>
    <t>Leasing</t>
  </si>
  <si>
    <t>STD</t>
  </si>
  <si>
    <t>T-VALUE</t>
  </si>
  <si>
    <t xml:space="preserve"> * =&gt; eliminating 2020 and 2021 since they are more fixed cost =&gt;</t>
  </si>
  <si>
    <t>1,6b</t>
  </si>
  <si>
    <t>EV/EBTDA</t>
  </si>
  <si>
    <t>Assuming Latam and its LCC competitors will keep their actual RPKs as of 2021, their future market share will be driven by their contribution to the market growth. This contribution is estimated by a backward looking smoothed average, reduced by a future competition factor.</t>
  </si>
  <si>
    <t>Assuming Latam will benefit from the Join Venture with Delta, for being the first mover in proposing such a close alliance and for the similairty of the two airlines' value proposition, we expect Latam to gain a total of 7% of the International South American Market within 2025, and then stabilizing due to the rise of the new LCC group Abra and other alliances between North and South american airlines.</t>
  </si>
  <si>
    <t>wacc</t>
  </si>
  <si>
    <t>JET FUEL US$ per gallon</t>
  </si>
  <si>
    <t>growth rate %</t>
  </si>
  <si>
    <t>DCF APPROACH</t>
  </si>
  <si>
    <t>EV/EBITDA APPROACH</t>
  </si>
  <si>
    <t>EV/SALES APPROACH</t>
  </si>
  <si>
    <t>MIN</t>
  </si>
  <si>
    <t>MAX</t>
  </si>
  <si>
    <t>EV/EBITDA</t>
  </si>
  <si>
    <t>EV/SALES</t>
  </si>
  <si>
    <t>FootMax</t>
  </si>
  <si>
    <t>FootMin</t>
  </si>
  <si>
    <t>(+) Surplus assets</t>
  </si>
  <si>
    <t>United States of America</t>
  </si>
  <si>
    <t>Mexico</t>
  </si>
  <si>
    <t>France</t>
  </si>
  <si>
    <t>Australia</t>
  </si>
  <si>
    <t>Hong Kong</t>
  </si>
  <si>
    <t>Canada</t>
  </si>
  <si>
    <t>China</t>
  </si>
  <si>
    <t>Median</t>
  </si>
  <si>
    <t>Panama</t>
  </si>
  <si>
    <t>Identifier (RIC)</t>
  </si>
  <si>
    <t>Company Name</t>
  </si>
  <si>
    <t>Country of Headquarters</t>
  </si>
  <si>
    <t>Forward Enterprise Value To EBITDA (Daily Time Series Ratio)
(NTM)</t>
  </si>
  <si>
    <t>Forward Enterprise Value To EBIT (Daily Time Series Ratio)
(NTM)</t>
  </si>
  <si>
    <t>Forward Enterprise Value To Sales (Daily Time Series Ratio)
(NTM)</t>
  </si>
  <si>
    <t>Forward P/E (Daily Time Series Ratio)
(NTM)</t>
  </si>
  <si>
    <t>Forward Price To Book Value Per Share (Daily Time Series Ratio)</t>
  </si>
  <si>
    <t>Enterprise Value To EBITDA (Daily Time Series Ratio)</t>
  </si>
  <si>
    <t>Enterprise Value To EBIT (Daily Time Series Ratio)</t>
  </si>
  <si>
    <t>Enterprise Value To Sales (Daily Time Series Ratio)</t>
  </si>
  <si>
    <t>P/E (Daily Time Series Ratio)</t>
  </si>
  <si>
    <t>Price To Book Value Per Share (Daily Time Series Ratio)</t>
  </si>
  <si>
    <t>LTM.SN</t>
  </si>
  <si>
    <t>LATAM Airlines Group SA</t>
  </si>
  <si>
    <t>LHAG.DE</t>
  </si>
  <si>
    <t>Deutsche Lufthansa AG</t>
  </si>
  <si>
    <t>Germany</t>
  </si>
  <si>
    <t>0293.HK</t>
  </si>
  <si>
    <t>Cathay Pacific Airways Ltd</t>
  </si>
  <si>
    <t>ALK.N</t>
  </si>
  <si>
    <t>Alaska Air Group Inc</t>
  </si>
  <si>
    <t>TRZ.TO</t>
  </si>
  <si>
    <t>Transat AT Inc</t>
  </si>
  <si>
    <t>AIRF.PA</t>
  </si>
  <si>
    <t>Air France KLM SA</t>
  </si>
  <si>
    <t>JET.NLB</t>
  </si>
  <si>
    <t>Global Crossing Airlines Group Inc</t>
  </si>
  <si>
    <t>9201.T</t>
  </si>
  <si>
    <t>Japan Airlines Co Ltd</t>
  </si>
  <si>
    <t>Japan</t>
  </si>
  <si>
    <t>PAL.PS</t>
  </si>
  <si>
    <t>PAL Holdings Inc</t>
  </si>
  <si>
    <t>Philippines</t>
  </si>
  <si>
    <t>JET2.L</t>
  </si>
  <si>
    <t>Jet2 PLC</t>
  </si>
  <si>
    <t>United Kingdom</t>
  </si>
  <si>
    <t>600115.SS</t>
  </si>
  <si>
    <t>China Eastern Airlines Corp Ltd</t>
  </si>
  <si>
    <t>SKYW.OQ</t>
  </si>
  <si>
    <t>SkyWest Inc</t>
  </si>
  <si>
    <t>LUV.N</t>
  </si>
  <si>
    <t>Southwest Airlines Co</t>
  </si>
  <si>
    <t>THYAO.IS</t>
  </si>
  <si>
    <t>Turk Hava Yollari AO</t>
  </si>
  <si>
    <t>Turkey</t>
  </si>
  <si>
    <t>HA.OQ</t>
  </si>
  <si>
    <t>Hawaiian Holdings Inc</t>
  </si>
  <si>
    <t>SIAL.SI</t>
  </si>
  <si>
    <t>Singapore Airlines Ltd</t>
  </si>
  <si>
    <t>Singapore</t>
  </si>
  <si>
    <t>THAI.BK</t>
  </si>
  <si>
    <t>Thai Airways International PCL</t>
  </si>
  <si>
    <t>Thailand</t>
  </si>
  <si>
    <t>AIR.NZ</t>
  </si>
  <si>
    <t>Air New Zealand Ltd</t>
  </si>
  <si>
    <t>New Zealand</t>
  </si>
  <si>
    <t>FIA1S.HE</t>
  </si>
  <si>
    <t>Finnair Oyj</t>
  </si>
  <si>
    <t>Finland</t>
  </si>
  <si>
    <t>9202.T</t>
  </si>
  <si>
    <t>ANA Holdings Inc</t>
  </si>
  <si>
    <t>VOL.V</t>
  </si>
  <si>
    <t>Volatus Aerospace Corp</t>
  </si>
  <si>
    <t>2610.TW</t>
  </si>
  <si>
    <t>China Airlines Ltd</t>
  </si>
  <si>
    <t>Taiwan</t>
  </si>
  <si>
    <t>003490.KS</t>
  </si>
  <si>
    <t>Korean Air Lines Co Ltd</t>
  </si>
  <si>
    <t>Korea; Republic (S. Korea)</t>
  </si>
  <si>
    <t>AFLT.MM</t>
  </si>
  <si>
    <t>Aeroflot-Rossiyskiye Avialinii PAO</t>
  </si>
  <si>
    <t>Russia</t>
  </si>
  <si>
    <t>RHWI.PK</t>
  </si>
  <si>
    <t>River Hawk Aviation Inc</t>
  </si>
  <si>
    <t>SPJT.NS</t>
  </si>
  <si>
    <t>Spicejet Ltd</t>
  </si>
  <si>
    <t>India</t>
  </si>
  <si>
    <t>KNFM.TA</t>
  </si>
  <si>
    <t>Knafaim Holdings Ltd</t>
  </si>
  <si>
    <t>Israel</t>
  </si>
  <si>
    <t>KQNA.NR</t>
  </si>
  <si>
    <t>Kenya Airways PLC</t>
  </si>
  <si>
    <t>Kenya</t>
  </si>
  <si>
    <t>QAN.AX</t>
  </si>
  <si>
    <t>Qantas Airways Ltd</t>
  </si>
  <si>
    <t>JAGA.BO</t>
  </si>
  <si>
    <t>Jagson Airlines Ltd</t>
  </si>
  <si>
    <t>CMPP.JK</t>
  </si>
  <si>
    <t>AirAsia Indonesia Tbk PT</t>
  </si>
  <si>
    <t>Indonesia</t>
  </si>
  <si>
    <t>HRBR.PK</t>
  </si>
  <si>
    <t>Harbor Diversified Inc</t>
  </si>
  <si>
    <t>PIAa.PSX</t>
  </si>
  <si>
    <t>Pakistan International Airlines Corporation Ltd</t>
  </si>
  <si>
    <t>Pakistan</t>
  </si>
  <si>
    <t>RYA.I</t>
  </si>
  <si>
    <t>Ryanair Holdings PLC</t>
  </si>
  <si>
    <t>Ireland; Republic of</t>
  </si>
  <si>
    <t>UTAR.MM</t>
  </si>
  <si>
    <t>Aviakompaniya UTair PAO</t>
  </si>
  <si>
    <t>2618.TW</t>
  </si>
  <si>
    <t>Eva Airways Corp</t>
  </si>
  <si>
    <t>SAS.ST</t>
  </si>
  <si>
    <t>SAS AB</t>
  </si>
  <si>
    <t>Sweden</t>
  </si>
  <si>
    <t>200152.SZ</t>
  </si>
  <si>
    <t>Shandong Airlines Co Ltd</t>
  </si>
  <si>
    <t>KNRS.S</t>
  </si>
  <si>
    <t>Kinarus Therapeutics Holding AG</t>
  </si>
  <si>
    <t>Switzerland</t>
  </si>
  <si>
    <t>EZJ.L</t>
  </si>
  <si>
    <t>Easyjet PLC</t>
  </si>
  <si>
    <t>600221.SS</t>
  </si>
  <si>
    <t>Hainan Airlines Holding Co Ltd</t>
  </si>
  <si>
    <t>020560.KS</t>
  </si>
  <si>
    <t>Asiana Airlines Inc</t>
  </si>
  <si>
    <t>TAIR.TN</t>
  </si>
  <si>
    <t>Societe Tunisienne de l'Air SA</t>
  </si>
  <si>
    <t>Tunisia</t>
  </si>
  <si>
    <t>JBLU.OQ</t>
  </si>
  <si>
    <t>JetBlue Airways Corp</t>
  </si>
  <si>
    <t>EIF.TO</t>
  </si>
  <si>
    <t>Exchange Income Corp</t>
  </si>
  <si>
    <t>ELAL.TA</t>
  </si>
  <si>
    <t>El Al Israel Airlines Ltd</t>
  </si>
  <si>
    <t>600029.SS</t>
  </si>
  <si>
    <t>China Southern Airlines Co Ltd</t>
  </si>
  <si>
    <t>HRAR.ZA</t>
  </si>
  <si>
    <t>Croatia Airlines dd</t>
  </si>
  <si>
    <t>Croatia</t>
  </si>
  <si>
    <t>NAS.OL</t>
  </si>
  <si>
    <t>Norwegian Air Shuttle ASA</t>
  </si>
  <si>
    <t>Norway</t>
  </si>
  <si>
    <t>GOLL4.SA</t>
  </si>
  <si>
    <t>Gol Linhas Aereas Inteligentes SA</t>
  </si>
  <si>
    <t>CAPI.KL</t>
  </si>
  <si>
    <t>Capital A Berhad</t>
  </si>
  <si>
    <t>Malaysia</t>
  </si>
  <si>
    <t>ESKN.L</t>
  </si>
  <si>
    <t>Esken Ltd</t>
  </si>
  <si>
    <t>JET.NS</t>
  </si>
  <si>
    <t>Jet Airways (India) Ltd</t>
  </si>
  <si>
    <t>REX.AX</t>
  </si>
  <si>
    <t>Regional Express Holdings Ltd</t>
  </si>
  <si>
    <t>CPA.N</t>
  </si>
  <si>
    <t>Copa Holdings SA</t>
  </si>
  <si>
    <t>CHR.TO</t>
  </si>
  <si>
    <t>Chorus Aviation Inc</t>
  </si>
  <si>
    <t>UAL.OQ</t>
  </si>
  <si>
    <t>United Airlines Holdings Inc</t>
  </si>
  <si>
    <t>AB1.F</t>
  </si>
  <si>
    <t>Air Berlin Plc</t>
  </si>
  <si>
    <t>ALGT.OQ</t>
  </si>
  <si>
    <t>Allegiant Travel Co</t>
  </si>
  <si>
    <t>601111.SS</t>
  </si>
  <si>
    <t>Air China Ltd</t>
  </si>
  <si>
    <t>AC.TO</t>
  </si>
  <si>
    <t>Air Canada</t>
  </si>
  <si>
    <t>ICEAIR.IC</t>
  </si>
  <si>
    <t>Icelandair Group hf</t>
  </si>
  <si>
    <t>Iceland</t>
  </si>
  <si>
    <t>AIRA.DU</t>
  </si>
  <si>
    <t>Air Arabia PJSC</t>
  </si>
  <si>
    <t>United Arab Emirates</t>
  </si>
  <si>
    <t>DAL.N</t>
  </si>
  <si>
    <t>Delta Air Lines Inc</t>
  </si>
  <si>
    <t>AGNr.AT</t>
  </si>
  <si>
    <t>Aegean Airlines SA</t>
  </si>
  <si>
    <t>Greece</t>
  </si>
  <si>
    <t>RJAL.AM</t>
  </si>
  <si>
    <t>Alia Royal Jordanian Airlines PLC</t>
  </si>
  <si>
    <t>Jordan</t>
  </si>
  <si>
    <t>CEB.PS</t>
  </si>
  <si>
    <t>Cebu Air Inc</t>
  </si>
  <si>
    <t>JAZK.KW</t>
  </si>
  <si>
    <t>Jazeera Airways Co KSCP</t>
  </si>
  <si>
    <t>Kuwait</t>
  </si>
  <si>
    <t>PGSUS.IS</t>
  </si>
  <si>
    <t>Pegasus Hava Tasimaciligi AS</t>
  </si>
  <si>
    <t>AIRX.KL</t>
  </si>
  <si>
    <t>AirAsia X Bhd</t>
  </si>
  <si>
    <t>SAVE.N</t>
  </si>
  <si>
    <t>Spirit Airlines Inc</t>
  </si>
  <si>
    <t>GMAA.L</t>
  </si>
  <si>
    <t>Gama Aviation PLC</t>
  </si>
  <si>
    <t>HVN.HM</t>
  </si>
  <si>
    <t>Vietnam Airlines JSC</t>
  </si>
  <si>
    <t>Vietnam</t>
  </si>
  <si>
    <t>ICAG.L</t>
  </si>
  <si>
    <t>International Consolidated Airlines Group SA</t>
  </si>
  <si>
    <t>601021.SS</t>
  </si>
  <si>
    <t>Spring Airlines Co Ltd</t>
  </si>
  <si>
    <t>GIAA.JK</t>
  </si>
  <si>
    <t>Garuda Indonesia (Persero) Tbk PT</t>
  </si>
  <si>
    <t>AEROMEX.MX</t>
  </si>
  <si>
    <t>Grupo Aeromexico SAB de CV</t>
  </si>
  <si>
    <t>AVT_p.CN</t>
  </si>
  <si>
    <t>Avianca Holdings SA</t>
  </si>
  <si>
    <t>BA.BK</t>
  </si>
  <si>
    <t>Bangkok Airways PCL</t>
  </si>
  <si>
    <t>9206.T</t>
  </si>
  <si>
    <t>Star Flyer Inc</t>
  </si>
  <si>
    <t>AQZ.AX</t>
  </si>
  <si>
    <t>Alliance Aviation Services Ltd</t>
  </si>
  <si>
    <t>AAV.BK</t>
  </si>
  <si>
    <t>Asia Aviation PCL</t>
  </si>
  <si>
    <t>603885.SS</t>
  </si>
  <si>
    <t>JUNEYAO AIRLINES Co Ltd</t>
  </si>
  <si>
    <t>NOK.BK</t>
  </si>
  <si>
    <t>Nok Airlines PCL</t>
  </si>
  <si>
    <t>SPHAX.TN</t>
  </si>
  <si>
    <t>Syphax Airlines SA</t>
  </si>
  <si>
    <t>180640.KS</t>
  </si>
  <si>
    <t>Hanjin Kal</t>
  </si>
  <si>
    <t>VOLARA.MX</t>
  </si>
  <si>
    <t>Controladora Vuela Compania de Aviacion SAB de CV</t>
  </si>
  <si>
    <t>AAL.OQ</t>
  </si>
  <si>
    <t>American Airlines Group Inc</t>
  </si>
  <si>
    <t>WIZZ.L</t>
  </si>
  <si>
    <t>Wizz Air Holdings PLC</t>
  </si>
  <si>
    <t>AZUL.N</t>
  </si>
  <si>
    <t>Azul SA</t>
  </si>
  <si>
    <t>VJC.HM</t>
  </si>
  <si>
    <t>Vietjet Aviation JSC</t>
  </si>
  <si>
    <t>INGL.NS</t>
  </si>
  <si>
    <t>Interglobe Aviation Ltd</t>
  </si>
  <si>
    <t>089590.KS</t>
  </si>
  <si>
    <t>JejuAir Co Ltd</t>
  </si>
  <si>
    <t>ENTP.WA</t>
  </si>
  <si>
    <t>Enter Air SA</t>
  </si>
  <si>
    <t>Poland</t>
  </si>
  <si>
    <t>002928.SZ</t>
  </si>
  <si>
    <t>China Express Airlines Co Ltd</t>
  </si>
  <si>
    <t>ULCC.OQ</t>
  </si>
  <si>
    <t>Frontier Group Holdings Inc</t>
  </si>
  <si>
    <t>272450.KS</t>
  </si>
  <si>
    <t>Jin Air Co Ltd</t>
  </si>
  <si>
    <t>HELI.JK</t>
  </si>
  <si>
    <t>Jaya Trishindo Tbk PT</t>
  </si>
  <si>
    <t>MESA.OQ</t>
  </si>
  <si>
    <t>Mesa Air Group Inc</t>
  </si>
  <si>
    <t>091810.KS</t>
  </si>
  <si>
    <t>T'way Air Co Ltd</t>
  </si>
  <si>
    <t>298690.KS</t>
  </si>
  <si>
    <t>Air Busan Co Ltd</t>
  </si>
  <si>
    <t>BLDE.OQ</t>
  </si>
  <si>
    <t>Blade Air Mobility Inc</t>
  </si>
  <si>
    <t>6757.TWO</t>
  </si>
  <si>
    <t>Tigerair Taiwan Co Ltd</t>
  </si>
  <si>
    <t>JOBY.N</t>
  </si>
  <si>
    <t>Joby Aviation Inc</t>
  </si>
  <si>
    <t>UP.N</t>
  </si>
  <si>
    <t>Wheels Up Experience Inc</t>
  </si>
  <si>
    <t>SNCY.OQ</t>
  </si>
  <si>
    <t>Sun Country Airlines Holdings Inc</t>
  </si>
  <si>
    <t>FLYR.OL</t>
  </si>
  <si>
    <t>Flyr AS</t>
  </si>
  <si>
    <t>NORSE.OL</t>
  </si>
  <si>
    <t>Norse Atlantic ASA</t>
  </si>
  <si>
    <t>PLAY.IC</t>
  </si>
  <si>
    <t>Fly Play hf</t>
  </si>
  <si>
    <t>2646.TWO</t>
  </si>
  <si>
    <t>Starlux Airlines Co Ltd</t>
  </si>
  <si>
    <t>JBLU.O</t>
  </si>
  <si>
    <t>CPA</t>
  </si>
  <si>
    <t>AZUL.K</t>
  </si>
  <si>
    <t>MESA.O</t>
  </si>
  <si>
    <t>SAVE.K</t>
  </si>
  <si>
    <t>AVT.O</t>
  </si>
  <si>
    <t>Avnet Inc</t>
  </si>
  <si>
    <t>Peer Mean</t>
  </si>
  <si>
    <t>Peer Median</t>
  </si>
  <si>
    <t>Peer High</t>
  </si>
  <si>
    <t>Peer Low</t>
  </si>
  <si>
    <t>1st Quartile</t>
  </si>
  <si>
    <t>3rd Quartile</t>
  </si>
  <si>
    <t>Airlines</t>
  </si>
  <si>
    <t>Industrials</t>
  </si>
  <si>
    <t>Area</t>
  </si>
  <si>
    <t>P/E</t>
  </si>
  <si>
    <t>Price/Book</t>
  </si>
  <si>
    <t>EV/Sales</t>
  </si>
  <si>
    <t>Market Capitalization
(0FY, FY0, USD)</t>
  </si>
  <si>
    <t>Number of Shares Outstanding - Actual
(0FY, FY0)</t>
  </si>
  <si>
    <t>Net Income After Taxes
(0FY, FY0, USD)</t>
  </si>
  <si>
    <t>Net Debt
(0FY, FY0, USD)</t>
  </si>
  <si>
    <t>EBITDA
(0FY, FY0, USD)</t>
  </si>
  <si>
    <t>Revenue
(0FY, FY0, USD)</t>
  </si>
  <si>
    <t>Income Taxes for the Year - Current
(0FY, FY0, USD)</t>
  </si>
  <si>
    <t>Net Income Before Taxes
(0FY, FY0, USD)</t>
  </si>
  <si>
    <t>Total Equity
(0FY, FY0, USD)</t>
  </si>
  <si>
    <t>AAL.O</t>
  </si>
  <si>
    <t>LFY</t>
  </si>
  <si>
    <t>median</t>
  </si>
  <si>
    <t>EV/sales</t>
  </si>
  <si>
    <t>EV/Ebitda</t>
  </si>
  <si>
    <t>Emerging markets (TIER 1)</t>
  </si>
  <si>
    <t>USA (TIER 1)</t>
  </si>
  <si>
    <t>Tier (not final)</t>
  </si>
  <si>
    <t xml:space="preserve">F EV/EBITDA </t>
  </si>
  <si>
    <t xml:space="preserve">F EV/Sales </t>
  </si>
  <si>
    <t xml:space="preserve">P/E </t>
  </si>
  <si>
    <t>Low</t>
  </si>
  <si>
    <t>EBITDA (LTM)</t>
  </si>
  <si>
    <t>Sales (LTM)</t>
  </si>
  <si>
    <t>MKT CAP</t>
  </si>
  <si>
    <t># Shares</t>
  </si>
  <si>
    <t>Net debt</t>
  </si>
  <si>
    <t>25th Percentile</t>
  </si>
  <si>
    <t>Actual Price/Share</t>
  </si>
  <si>
    <t>75 Percentile</t>
  </si>
  <si>
    <t>High</t>
  </si>
  <si>
    <t>Implied EV</t>
  </si>
  <si>
    <t>Implied Eq. Value</t>
  </si>
  <si>
    <t>Price/Share</t>
  </si>
  <si>
    <t>LTM</t>
  </si>
  <si>
    <t>NTM</t>
  </si>
  <si>
    <t>Mean Last Fiscal year</t>
  </si>
  <si>
    <t>Mean LTM</t>
  </si>
  <si>
    <t>Mean NTM</t>
  </si>
  <si>
    <t>Median Last fiscal Year</t>
  </si>
  <si>
    <t>Median LTM</t>
  </si>
  <si>
    <t>Median NTM</t>
  </si>
  <si>
    <t>Emerging markets</t>
  </si>
  <si>
    <t>USA</t>
  </si>
  <si>
    <t>D&amp;A (LTM)</t>
  </si>
  <si>
    <t>WC (LTM)</t>
  </si>
  <si>
    <t>WC (LTM 2021)</t>
  </si>
  <si>
    <t>CAPEX (LTM)</t>
  </si>
  <si>
    <t>Δ WC (LTM)</t>
  </si>
  <si>
    <t>NET CAPEX (LTM)</t>
  </si>
  <si>
    <t>EV/EBITDA (LTM)</t>
  </si>
  <si>
    <t>TAX RATE</t>
  </si>
  <si>
    <t>DA/EBITDA (LTM)</t>
  </si>
  <si>
    <t>NET CAPEX/EBITDA (LTM)</t>
  </si>
  <si>
    <t>DA (LATAM)</t>
  </si>
  <si>
    <t>CAPEX (LATAM)</t>
  </si>
  <si>
    <t>EBITDA (LATAM)</t>
  </si>
  <si>
    <t>Δ WC (LATAM)</t>
  </si>
  <si>
    <t>NET CAPEX (LATAM)</t>
  </si>
  <si>
    <t>DA/EBITDA (LATAM)</t>
  </si>
  <si>
    <t>NET CAPEX/EBITDA (LATAM)</t>
  </si>
  <si>
    <t>TAX RATE (LATAM)</t>
  </si>
  <si>
    <t>INTERCEPT</t>
  </si>
  <si>
    <t>DA/EBITDA</t>
  </si>
  <si>
    <t>Implied EV/EBITDA (LTM)</t>
  </si>
  <si>
    <t>Implied EV (LTM)</t>
  </si>
  <si>
    <t>NET CAPEX/EBITDA</t>
  </si>
  <si>
    <t>International - Avg. Comps</t>
  </si>
  <si>
    <t xml:space="preserve">SSC - Avg. Comps </t>
  </si>
  <si>
    <t>Brazil - Avg. Comps</t>
  </si>
  <si>
    <t>(=) Equity Value</t>
  </si>
  <si>
    <t xml:space="preserve">Data in US$ millions, except per share and capital stock </t>
  </si>
  <si>
    <t>P.P.E.</t>
  </si>
  <si>
    <t>Intangible Assets other than Goodwill</t>
  </si>
  <si>
    <t>NIC + Net Surplus Assets</t>
  </si>
  <si>
    <t>TOTAL EQUITY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</si>
</sst>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0">
    <numFmt numFmtId="41" formatCode="_-* #,##0_-;\-* #,##0_-;_-* &quot;-&quot;_-;_-@_-"/>
    <numFmt numFmtId="44" formatCode="_-* #,##0.00\ &quot;€&quot;_-;\-* #,##0.00\ &quot;€&quot;_-;_-* &quot;-&quot;??\ &quot;€&quot;_-;_-@_-"/>
    <numFmt numFmtId="43" formatCode="_-* #,##0.00_-;\-* #,##0.00_-;_-* &quot;-&quot;??_-;_-@_-"/>
    <numFmt numFmtId="164" formatCode="_(* #,##0_);_(* \(#,##0\);_(* &quot;-&quot;_);_(@_)"/>
    <numFmt numFmtId="165" formatCode="_-* #,##0.00\ _€_-;\-* #,##0.00\ _€_-;_-* &quot;-&quot;??\ _€_-;_-@_-"/>
    <numFmt numFmtId="166" formatCode="yyyy\-mm\-dd"/>
    <numFmt numFmtId="167" formatCode="0.0"/>
    <numFmt numFmtId="168" formatCode="mmm\-yyyy"/>
    <numFmt numFmtId="169" formatCode="0.000"/>
    <numFmt numFmtId="170" formatCode="d/m/yy;@"/>
    <numFmt numFmtId="171" formatCode="0.0%"/>
    <numFmt numFmtId="172" formatCode="_ * #,##0_ ;_ * \-#,##0_ ;_ * &quot;-&quot;_ ;_ @_ "/>
    <numFmt numFmtId="173" formatCode="#,##0.0"/>
    <numFmt numFmtId="174" formatCode="#,##0.000_ ;[Red]\-#,##0.000\ "/>
    <numFmt numFmtId="175" formatCode="#,##0;[Red]\(#,##0\)"/>
    <numFmt numFmtId="176" formatCode="General_)"/>
    <numFmt numFmtId="177" formatCode="0.000%"/>
    <numFmt numFmtId="178" formatCode="0.0000"/>
    <numFmt numFmtId="179" formatCode="_-* #,##0_-;\-* #,##0_-;_-* &quot;-&quot;??_-;_-@_-"/>
    <numFmt numFmtId="180" formatCode="#,##0.000"/>
    <numFmt numFmtId="181" formatCode="_-[$$-409]* #,##0.00_ ;_-[$$-409]* \-#,##0.00\ ;_-[$$-409]* &quot;-&quot;??_ ;_-@_ "/>
    <numFmt numFmtId="182" formatCode="[$$-1009]#,##0.00"/>
    <numFmt numFmtId="183" formatCode="0.0000%"/>
    <numFmt numFmtId="184" formatCode="0.0000000%"/>
    <numFmt numFmtId="185" formatCode="#,##0;\(#,##0\)"/>
    <numFmt numFmtId="186" formatCode="0;\(0\)"/>
    <numFmt numFmtId="187" formatCode="#,##0.00000_);\(#,##0.00000\)"/>
    <numFmt numFmtId="188" formatCode="0.00000"/>
    <numFmt numFmtId="189" formatCode="#,##0.00;\(#,##0.00\)"/>
    <numFmt numFmtId="190" formatCode="&quot;€&quot;#,##0"/>
    <numFmt numFmtId="191" formatCode="0.00000000"/>
    <numFmt numFmtId="192" formatCode="#,##0.000000;\(#,##0.000000\)"/>
    <numFmt numFmtId="193" formatCode="[$$-2809]#,##0.00"/>
    <numFmt numFmtId="194" formatCode="_-* #,##0\ _€_-;\-* #,##0\ _€_-;_-* &quot;-&quot;??\ _€_-;_-@_-"/>
    <numFmt numFmtId="195" formatCode="_(* #,##0.00_);_(* \(#,##0.00\);_(* &quot;-&quot;??_);_(@_)"/>
    <numFmt numFmtId="196" formatCode="_(* #,##0.000_);_(* \(#,##0.000\);_(* &quot;-&quot;??_);_(@_)"/>
    <numFmt numFmtId="197" formatCode="_(* #,##0.0000_);_(* \(#,##0.0000\);_(* &quot;-&quot;??_);_(@_)"/>
    <numFmt numFmtId="198" formatCode="#,##0.00\x;\(#,##0.00\)\x"/>
    <numFmt numFmtId="199" formatCode="#,##0%"/>
    <numFmt numFmtId="200" formatCode="#,##0.0_);\(#,##0.0\)"/>
  </numFmts>
  <fonts count="167"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sz val="10"/>
      <color theme="1"/>
      <name val="Baskerville"/>
      <family val="1"/>
    </font>
    <font>
      <b/>
      <sz val="10"/>
      <color theme="1"/>
      <name val="Baskerville"/>
      <family val="1"/>
    </font>
    <font>
      <b/>
      <sz val="10"/>
      <color theme="9" tint="-0.249977111117893"/>
      <name val="Baskerville"/>
      <family val="1"/>
    </font>
    <font>
      <sz val="12"/>
      <color rgb="FF000000"/>
      <name val="Calibri"/>
      <family val="2"/>
      <scheme val="minor"/>
    </font>
    <font>
      <sz val="10"/>
      <color rgb="FF000000"/>
      <name val="Tahoma"/>
      <family val="2"/>
    </font>
    <font>
      <b/>
      <sz val="10"/>
      <color rgb="FF000000"/>
      <name val="Tahoma"/>
      <family val="2"/>
    </font>
    <font>
      <sz val="10"/>
      <name val="Arial"/>
      <family val="2"/>
    </font>
    <font>
      <sz val="16"/>
      <color rgb="FF333333"/>
      <name val="Helvetica Neue"/>
      <family val="2"/>
    </font>
    <font>
      <u/>
      <sz val="10"/>
      <color indexed="12"/>
      <name val="Arial"/>
      <family val="2"/>
    </font>
    <font>
      <b/>
      <sz val="12"/>
      <color indexed="18"/>
      <name val="Arial"/>
      <family val="2"/>
    </font>
    <font>
      <b/>
      <sz val="9"/>
      <name val="Arial"/>
      <family val="2"/>
    </font>
    <font>
      <b/>
      <sz val="10"/>
      <name val="Arial"/>
      <family val="2"/>
    </font>
    <font>
      <b/>
      <sz val="14"/>
      <color indexed="18"/>
      <name val="Arial"/>
      <family val="2"/>
    </font>
    <font>
      <b/>
      <i/>
      <sz val="12"/>
      <color indexed="10"/>
      <name val="Arial"/>
      <family val="2"/>
    </font>
    <font>
      <b/>
      <sz val="10"/>
      <color indexed="9"/>
      <name val="Arial"/>
      <family val="2"/>
    </font>
    <font>
      <b/>
      <u/>
      <sz val="10"/>
      <color indexed="12"/>
      <name val="Arial"/>
      <family val="2"/>
    </font>
    <font>
      <sz val="10"/>
      <color indexed="63"/>
      <name val="Arial"/>
      <family val="2"/>
    </font>
    <font>
      <sz val="10"/>
      <color indexed="9"/>
      <name val="Arial"/>
      <family val="2"/>
    </font>
    <font>
      <i/>
      <sz val="12"/>
      <color theme="1"/>
      <name val="Calibri"/>
      <family val="2"/>
      <scheme val="minor"/>
    </font>
    <font>
      <b/>
      <sz val="12"/>
      <color theme="4"/>
      <name val="Calibri"/>
      <family val="2"/>
      <scheme val="minor"/>
    </font>
    <font>
      <sz val="8"/>
      <name val="Calibri"/>
      <family val="2"/>
      <scheme val="minor"/>
    </font>
    <font>
      <b/>
      <sz val="12"/>
      <color rgb="FF000000"/>
      <name val="Calibri"/>
      <family val="2"/>
      <scheme val="minor"/>
    </font>
    <font>
      <sz val="11"/>
      <color theme="1"/>
      <name val="Calibri"/>
      <family val="2"/>
      <scheme val="minor"/>
    </font>
    <font>
      <b/>
      <sz val="10"/>
      <color theme="0"/>
      <name val="Baskerville"/>
      <family val="1"/>
    </font>
    <font>
      <b/>
      <sz val="11"/>
      <color theme="1"/>
      <name val="Calibri"/>
      <family val="2"/>
      <scheme val="minor"/>
    </font>
    <font>
      <i/>
      <sz val="11"/>
      <color theme="1"/>
      <name val="Calibri"/>
      <family val="2"/>
      <scheme val="minor"/>
    </font>
    <font>
      <sz val="11"/>
      <color theme="1" tint="0.499984740745262"/>
      <name val="Calibri"/>
      <family val="2"/>
      <scheme val="minor"/>
    </font>
    <font>
      <b/>
      <sz val="10"/>
      <name val="Calibri"/>
      <family val="2"/>
      <scheme val="minor"/>
    </font>
    <font>
      <sz val="10"/>
      <name val="Calibri"/>
      <family val="2"/>
      <scheme val="minor"/>
    </font>
    <font>
      <b/>
      <sz val="8"/>
      <color rgb="FFC00000"/>
      <name val="Arial"/>
      <family val="2"/>
    </font>
    <font>
      <sz val="8"/>
      <name val="Arial"/>
      <family val="2"/>
    </font>
    <font>
      <b/>
      <sz val="10"/>
      <color theme="0"/>
      <name val="Calibri"/>
      <family val="2"/>
      <scheme val="minor"/>
    </font>
    <font>
      <sz val="10"/>
      <color theme="1"/>
      <name val="Calibri"/>
      <family val="2"/>
      <scheme val="minor"/>
    </font>
    <font>
      <sz val="9"/>
      <name val="Verdana"/>
      <family val="2"/>
    </font>
    <font>
      <b/>
      <i/>
      <sz val="10"/>
      <name val="Calibri"/>
      <family val="2"/>
      <scheme val="minor"/>
    </font>
    <font>
      <i/>
      <sz val="10"/>
      <name val="Calibri"/>
      <family val="2"/>
      <scheme val="minor"/>
    </font>
    <font>
      <sz val="9"/>
      <name val="Arial"/>
      <family val="2"/>
    </font>
    <font>
      <sz val="9"/>
      <color indexed="62"/>
      <name val="Verdana"/>
      <family val="2"/>
    </font>
    <font>
      <u/>
      <sz val="12"/>
      <color theme="10"/>
      <name val="Calibri"/>
      <family val="2"/>
      <scheme val="minor"/>
    </font>
    <font>
      <sz val="11"/>
      <color rgb="FF000000"/>
      <name val="Calibri"/>
      <family val="2"/>
      <scheme val="minor"/>
    </font>
    <font>
      <sz val="10"/>
      <name val="Baskerville"/>
      <family val="1"/>
    </font>
    <font>
      <b/>
      <sz val="10"/>
      <color theme="1"/>
      <name val="Arial"/>
      <family val="2"/>
    </font>
    <font>
      <sz val="10"/>
      <color theme="1"/>
      <name val="Arial"/>
      <family val="2"/>
    </font>
    <font>
      <sz val="22"/>
      <color theme="1"/>
      <name val="Baskerville"/>
      <family val="1"/>
    </font>
    <font>
      <sz val="24"/>
      <color theme="1"/>
      <name val="Baskerville"/>
      <family val="1"/>
    </font>
    <font>
      <b/>
      <sz val="12"/>
      <name val="Baskerville"/>
      <family val="1"/>
    </font>
    <font>
      <sz val="12"/>
      <name val="Baskerville"/>
      <family val="1"/>
    </font>
    <font>
      <sz val="10"/>
      <color rgb="FFFF0000"/>
      <name val="Baskerville"/>
      <family val="1"/>
    </font>
    <font>
      <b/>
      <sz val="22"/>
      <color theme="1"/>
      <name val="Baskerville"/>
      <family val="1"/>
    </font>
    <font>
      <sz val="24"/>
      <name val="Baskerville"/>
      <family val="1"/>
    </font>
    <font>
      <sz val="12"/>
      <color theme="1"/>
      <name val="Baskerville"/>
      <family val="1"/>
    </font>
    <font>
      <sz val="12"/>
      <color rgb="FFFF0000"/>
      <name val="Calibri"/>
      <family val="2"/>
      <scheme val="minor"/>
    </font>
    <font>
      <sz val="28"/>
      <color theme="1"/>
      <name val="Baskerville"/>
      <family val="1"/>
    </font>
    <font>
      <b/>
      <sz val="10"/>
      <color rgb="FFFFFFFF"/>
      <name val="Calibri"/>
      <family val="2"/>
      <scheme val="minor"/>
    </font>
    <font>
      <sz val="10"/>
      <color rgb="FF000000"/>
      <name val="Calibri"/>
      <family val="2"/>
      <scheme val="minor"/>
    </font>
    <font>
      <b/>
      <sz val="10"/>
      <color rgb="FFFF0000"/>
      <name val="Calibri"/>
      <family val="2"/>
      <scheme val="minor"/>
    </font>
    <font>
      <sz val="10"/>
      <color rgb="FFFF0000"/>
      <name val="Calibri"/>
      <family val="2"/>
      <scheme val="minor"/>
    </font>
    <font>
      <b/>
      <sz val="12"/>
      <color theme="1"/>
      <name val="Baskerville"/>
      <family val="1"/>
    </font>
    <font>
      <sz val="11"/>
      <color rgb="FF000000"/>
      <name val="Baskerville"/>
      <family val="1"/>
    </font>
    <font>
      <sz val="12"/>
      <color theme="2" tint="-0.499984740745262"/>
      <name val="Baskerville"/>
      <family val="1"/>
    </font>
    <font>
      <b/>
      <sz val="11"/>
      <color theme="0"/>
      <name val="Calibri"/>
      <family val="2"/>
      <scheme val="minor"/>
    </font>
    <font>
      <b/>
      <sz val="10"/>
      <name val="Calibri"/>
      <family val="2"/>
    </font>
    <font>
      <sz val="10"/>
      <color rgb="FF000000"/>
      <name val="Calibri"/>
      <family val="2"/>
    </font>
    <font>
      <sz val="10"/>
      <name val="Calibri"/>
      <family val="2"/>
    </font>
    <font>
      <b/>
      <sz val="10"/>
      <color theme="0"/>
      <name val="Calibri"/>
      <family val="2"/>
    </font>
    <font>
      <b/>
      <sz val="12"/>
      <color theme="0"/>
      <name val="Calibri"/>
      <family val="2"/>
      <scheme val="minor"/>
    </font>
    <font>
      <sz val="12"/>
      <color theme="0" tint="-4.9989318521683403E-2"/>
      <name val="Calibri"/>
      <family val="2"/>
      <scheme val="minor"/>
    </font>
    <font>
      <i/>
      <sz val="10"/>
      <name val="Calibri"/>
      <family val="2"/>
    </font>
    <font>
      <sz val="8"/>
      <color theme="1"/>
      <name val="Calibri"/>
      <family val="2"/>
      <scheme val="minor"/>
    </font>
    <font>
      <sz val="9"/>
      <name val="Baskerville"/>
      <family val="1"/>
    </font>
    <font>
      <sz val="9"/>
      <color theme="2" tint="-0.499984740745262"/>
      <name val="Baskerville"/>
      <family val="1"/>
    </font>
    <font>
      <sz val="9"/>
      <color theme="1"/>
      <name val="Baskerville"/>
      <family val="1"/>
    </font>
    <font>
      <b/>
      <sz val="9"/>
      <name val="Baskerville"/>
      <family val="1"/>
    </font>
    <font>
      <b/>
      <sz val="9"/>
      <color theme="2" tint="-0.499984740745262"/>
      <name val="Baskerville"/>
      <family val="1"/>
    </font>
    <font>
      <sz val="9"/>
      <color rgb="FFFF0000"/>
      <name val="Baskerville"/>
      <family val="1"/>
    </font>
    <font>
      <b/>
      <i/>
      <sz val="9"/>
      <name val="Baskerville"/>
      <family val="1"/>
    </font>
    <font>
      <sz val="9"/>
      <color rgb="FF000000"/>
      <name val="Calibri"/>
      <family val="2"/>
      <scheme val="minor"/>
    </font>
    <font>
      <sz val="9"/>
      <color theme="2" tint="-0.499984740745262"/>
      <name val="Calibri"/>
      <family val="2"/>
      <scheme val="minor"/>
    </font>
    <font>
      <b/>
      <sz val="11"/>
      <name val="Calibri"/>
      <family val="2"/>
    </font>
    <font>
      <b/>
      <sz val="9"/>
      <color rgb="FF000000"/>
      <name val="Tahoma"/>
      <family val="2"/>
    </font>
    <font>
      <sz val="9"/>
      <color rgb="FF000000"/>
      <name val="Tahoma"/>
      <family val="2"/>
    </font>
    <font>
      <b/>
      <sz val="10"/>
      <color rgb="FF000000"/>
      <name val="Calibri"/>
      <family val="2"/>
    </font>
    <font>
      <sz val="10"/>
      <color theme="0"/>
      <name val="Calibri"/>
      <family val="2"/>
    </font>
    <font>
      <i/>
      <sz val="12"/>
      <color theme="2" tint="-0.499984740745262"/>
      <name val="Baskerville"/>
      <family val="1"/>
    </font>
    <font>
      <sz val="18"/>
      <color theme="1"/>
      <name val="Baskerville"/>
      <family val="1"/>
    </font>
    <font>
      <b/>
      <sz val="10"/>
      <color rgb="FF1F177D"/>
      <name val="Baskerville"/>
      <family val="1"/>
    </font>
    <font>
      <b/>
      <sz val="9"/>
      <color rgb="FF1F177D"/>
      <name val="Baskerville"/>
      <family val="1"/>
    </font>
    <font>
      <b/>
      <i/>
      <sz val="9"/>
      <color rgb="FF1F177D"/>
      <name val="Baskerville"/>
      <family val="1"/>
    </font>
    <font>
      <sz val="9"/>
      <color rgb="FFC00000"/>
      <name val="Baskerville"/>
      <family val="1"/>
    </font>
    <font>
      <sz val="11"/>
      <color indexed="8"/>
      <name val="Calibri"/>
      <family val="2"/>
      <charset val="1"/>
    </font>
    <font>
      <sz val="9"/>
      <color rgb="FF1F177D"/>
      <name val="Baskerville"/>
      <family val="1"/>
    </font>
    <font>
      <b/>
      <sz val="12"/>
      <color theme="0"/>
      <name val="Baskerville"/>
      <family val="1"/>
    </font>
    <font>
      <sz val="8"/>
      <name val="Calibri"/>
      <family val="2"/>
    </font>
    <font>
      <sz val="8"/>
      <color theme="1"/>
      <name val="Baskerville"/>
      <family val="1"/>
    </font>
    <font>
      <sz val="8"/>
      <name val="Baskerville"/>
      <family val="1"/>
    </font>
    <font>
      <b/>
      <sz val="8"/>
      <name val="Baskerville"/>
      <family val="1"/>
    </font>
    <font>
      <sz val="11"/>
      <name val="Calibri"/>
      <family val="2"/>
    </font>
    <font>
      <sz val="11"/>
      <color indexed="8"/>
      <name val="Calibri"/>
      <family val="2"/>
    </font>
    <font>
      <i/>
      <sz val="9"/>
      <color theme="2" tint="-0.499984740745262"/>
      <name val="Baskerville"/>
      <family val="1"/>
    </font>
    <font>
      <b/>
      <sz val="8"/>
      <color theme="0"/>
      <name val="Baskerville"/>
      <family val="1"/>
    </font>
    <font>
      <b/>
      <sz val="8"/>
      <color rgb="FF1F177D"/>
      <name val="Baskerville"/>
      <family val="1"/>
    </font>
    <font>
      <sz val="12"/>
      <color theme="0"/>
      <name val="Baskerville"/>
      <family val="1"/>
    </font>
    <font>
      <sz val="10"/>
      <color theme="0" tint="-0.34998626667073579"/>
      <name val="Baskerville"/>
      <family val="1"/>
    </font>
    <font>
      <sz val="9"/>
      <color theme="0" tint="-0.34998626667073579"/>
      <name val="Baskerville"/>
      <family val="1"/>
    </font>
    <font>
      <b/>
      <sz val="10"/>
      <color rgb="FF000000"/>
      <name val="Calibri"/>
      <family val="2"/>
      <scheme val="minor"/>
    </font>
    <font>
      <i/>
      <sz val="11"/>
      <color indexed="8"/>
      <name val="Calibri"/>
      <family val="2"/>
    </font>
    <font>
      <sz val="7"/>
      <color rgb="FF232A31"/>
      <name val="Arial"/>
      <family val="2"/>
    </font>
    <font>
      <b/>
      <sz val="12"/>
      <color rgb="FF1F177D"/>
      <name val="Baskerville"/>
      <family val="1"/>
    </font>
    <font>
      <sz val="12"/>
      <name val="Calibri"/>
      <family val="2"/>
      <scheme val="minor"/>
    </font>
    <font>
      <b/>
      <sz val="9"/>
      <color indexed="81"/>
      <name val="Tahoma"/>
      <family val="2"/>
    </font>
    <font>
      <b/>
      <sz val="10"/>
      <color theme="1"/>
      <name val="Calibri"/>
      <family val="2"/>
      <scheme val="minor"/>
    </font>
    <font>
      <sz val="11"/>
      <color rgb="FF1F177D"/>
      <name val="Calibri"/>
      <family val="2"/>
      <scheme val="minor"/>
    </font>
    <font>
      <b/>
      <sz val="11"/>
      <color rgb="FF1F177D"/>
      <name val="Calibri"/>
      <family val="2"/>
      <scheme val="minor"/>
    </font>
    <font>
      <sz val="12"/>
      <color rgb="FFC00000"/>
      <name val="Baskerville"/>
      <family val="1"/>
    </font>
    <font>
      <b/>
      <sz val="11"/>
      <color rgb="FFFF0000"/>
      <name val="Calibri"/>
      <family val="2"/>
      <scheme val="minor"/>
    </font>
    <font>
      <sz val="10"/>
      <color theme="2" tint="-0.499984740745262"/>
      <name val="Baskerville"/>
      <family val="1"/>
    </font>
    <font>
      <sz val="12"/>
      <color rgb="FF1F177D"/>
      <name val="Baskerville"/>
      <family val="1"/>
    </font>
    <font>
      <sz val="11"/>
      <color rgb="FF000000"/>
      <name val="Calibri"/>
      <family val="2"/>
    </font>
    <font>
      <sz val="8"/>
      <color rgb="FF666666"/>
      <name val="Open Sans"/>
      <family val="2"/>
    </font>
    <font>
      <sz val="11"/>
      <color rgb="FF636363"/>
      <name val="Arial"/>
      <family val="2"/>
    </font>
    <font>
      <sz val="8"/>
      <color rgb="FF2E3C57"/>
      <name val="Arial"/>
      <family val="2"/>
    </font>
    <font>
      <sz val="11"/>
      <color rgb="FF000000"/>
      <name val="Calibri"/>
      <family val="2"/>
    </font>
    <font>
      <b/>
      <sz val="14"/>
      <color rgb="FF211778"/>
      <name val="Calibri"/>
      <family val="2"/>
    </font>
    <font>
      <b/>
      <sz val="11"/>
      <color rgb="FF211778"/>
      <name val="Calibri"/>
      <family val="2"/>
    </font>
    <font>
      <sz val="14"/>
      <color rgb="FF211778"/>
      <name val="Calibri"/>
      <family val="2"/>
    </font>
    <font>
      <sz val="12"/>
      <color rgb="FF1F177D"/>
      <name val="Calibri"/>
      <family val="2"/>
      <scheme val="minor"/>
    </font>
    <font>
      <b/>
      <sz val="12"/>
      <color rgb="FF1F177D"/>
      <name val="Calibri"/>
      <family val="2"/>
      <scheme val="minor"/>
    </font>
    <font>
      <sz val="11"/>
      <color theme="1"/>
      <name val="Baskerville"/>
      <family val="1"/>
    </font>
    <font>
      <b/>
      <sz val="11"/>
      <color theme="1"/>
      <name val="Baskerville"/>
      <family val="1"/>
    </font>
    <font>
      <b/>
      <sz val="12"/>
      <color theme="1"/>
      <name val="Baskerville"/>
      <family val="1"/>
    </font>
    <font>
      <b/>
      <sz val="10"/>
      <color theme="1"/>
      <name val="Baskerville"/>
      <family val="1"/>
    </font>
    <font>
      <b/>
      <sz val="14"/>
      <color theme="0"/>
      <name val="Baskerville"/>
      <family val="1"/>
    </font>
    <font>
      <sz val="10"/>
      <name val="Arial"/>
      <family val="2"/>
    </font>
    <font>
      <sz val="10"/>
      <color theme="2" tint="-0.499984740745262"/>
      <name val="Arial"/>
      <family val="2"/>
    </font>
    <font>
      <sz val="10"/>
      <color rgb="FF1F177D"/>
      <name val="Baskerville"/>
      <family val="1"/>
    </font>
    <font>
      <i/>
      <sz val="10"/>
      <color rgb="FF1F177D"/>
      <name val="Baskerville"/>
      <family val="1"/>
    </font>
    <font>
      <sz val="10"/>
      <color rgb="FFF2F2F2"/>
      <name val="Baskerville"/>
      <family val="1"/>
    </font>
    <font>
      <sz val="10"/>
      <color rgb="FFF2F2F2"/>
      <name val="Calibri"/>
      <family val="2"/>
      <scheme val="minor"/>
    </font>
    <font>
      <i/>
      <sz val="10"/>
      <color rgb="FF1F177D"/>
      <name val="Baskerville"/>
      <family val="1"/>
    </font>
    <font>
      <sz val="9"/>
      <color rgb="FF1F177D"/>
      <name val="Baskerville"/>
      <family val="1"/>
    </font>
    <font>
      <sz val="10"/>
      <color theme="1" tint="0.14999847407452621"/>
      <name val="Baskerville"/>
      <family val="1"/>
    </font>
    <font>
      <sz val="14"/>
      <color rgb="FF1F177D"/>
      <name val="Baskerville"/>
      <family val="1"/>
    </font>
    <font>
      <b/>
      <sz val="14"/>
      <color rgb="FF211782"/>
      <name val="Calibri"/>
      <family val="2"/>
      <scheme val="minor"/>
    </font>
    <font>
      <sz val="11"/>
      <color theme="1"/>
      <name val="Calibri"/>
      <family val="2"/>
      <charset val="204"/>
      <scheme val="minor"/>
    </font>
    <font>
      <sz val="11"/>
      <name val="Calibri"/>
      <family val="2"/>
      <scheme val="minor"/>
    </font>
    <font>
      <b/>
      <sz val="11"/>
      <name val="Calibri"/>
      <family val="2"/>
      <scheme val="minor"/>
    </font>
    <font>
      <b/>
      <sz val="11"/>
      <color theme="1"/>
      <name val="Calibri"/>
      <family val="2"/>
      <charset val="204"/>
      <scheme val="minor"/>
    </font>
    <font>
      <b/>
      <sz val="11"/>
      <color rgb="FF000000"/>
      <name val="Calibri"/>
      <family val="2"/>
      <scheme val="minor"/>
    </font>
    <font>
      <sz val="18"/>
      <color rgb="FF211782"/>
      <name val="Calibri"/>
      <family val="2"/>
      <scheme val="minor"/>
    </font>
    <font>
      <sz val="11"/>
      <color theme="1"/>
      <name val="Calibri"/>
      <family val="2"/>
    </font>
    <font>
      <sz val="10"/>
      <color rgb="FF000000"/>
      <name val="Baskerville"/>
      <family val="1"/>
    </font>
    <font>
      <sz val="9"/>
      <color rgb="FF757171"/>
      <name val="Baskerville"/>
      <family val="1"/>
    </font>
    <font>
      <sz val="9"/>
      <color rgb="FF000000"/>
      <name val="Baskerville"/>
      <family val="1"/>
    </font>
    <font>
      <b/>
      <sz val="10"/>
      <color rgb="FFFFFFFF"/>
      <name val="Baskerville"/>
      <family val="1"/>
    </font>
    <font>
      <sz val="12"/>
      <color rgb="FF000000"/>
      <name val="Baskerville"/>
      <family val="1"/>
    </font>
    <font>
      <sz val="14"/>
      <color rgb="FF211778"/>
      <name val="Calibri"/>
      <family val="2"/>
      <scheme val="minor"/>
    </font>
    <font>
      <b/>
      <sz val="14"/>
      <color rgb="FF211778"/>
      <name val="Calibri"/>
      <family val="2"/>
      <scheme val="minor"/>
    </font>
  </fonts>
  <fills count="56">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indexed="18"/>
        <bgColor indexed="64"/>
      </patternFill>
    </fill>
    <fill>
      <patternFill patternType="solid">
        <fgColor indexed="26"/>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indexed="60"/>
      </patternFill>
    </fill>
    <fill>
      <patternFill patternType="solid">
        <fgColor theme="3"/>
        <bgColor indexed="64"/>
      </patternFill>
    </fill>
    <fill>
      <patternFill patternType="solid">
        <fgColor rgb="FFC00000"/>
        <bgColor indexed="64"/>
      </patternFill>
    </fill>
    <fill>
      <patternFill patternType="solid">
        <fgColor indexed="9"/>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rgb="FFFFC000"/>
        <bgColor indexed="64"/>
      </patternFill>
    </fill>
    <fill>
      <patternFill patternType="solid">
        <fgColor theme="2" tint="-9.9978637043366805E-2"/>
        <bgColor indexed="64"/>
      </patternFill>
    </fill>
    <fill>
      <patternFill patternType="solid">
        <fgColor theme="7"/>
        <bgColor indexed="64"/>
      </patternFill>
    </fill>
    <fill>
      <patternFill patternType="solid">
        <fgColor rgb="FF1F497D"/>
        <bgColor rgb="FF000000"/>
      </patternFill>
    </fill>
    <fill>
      <patternFill patternType="solid">
        <fgColor rgb="FFC00000"/>
        <bgColor rgb="FF000000"/>
      </patternFill>
    </fill>
    <fill>
      <patternFill patternType="solid">
        <fgColor rgb="FFDCE6F1"/>
        <bgColor rgb="FF000000"/>
      </patternFill>
    </fill>
    <fill>
      <patternFill patternType="solid">
        <fgColor rgb="FFFFFFFF"/>
        <bgColor rgb="FF000000"/>
      </patternFill>
    </fill>
    <fill>
      <patternFill patternType="solid">
        <fgColor theme="5" tint="-0.249977111117893"/>
        <bgColor indexed="64"/>
      </patternFill>
    </fill>
    <fill>
      <patternFill patternType="solid">
        <fgColor theme="9"/>
        <bgColor indexed="64"/>
      </patternFill>
    </fill>
    <fill>
      <patternFill patternType="solid">
        <fgColor rgb="FF00B050"/>
        <bgColor indexed="64"/>
      </patternFill>
    </fill>
    <fill>
      <patternFill patternType="solid">
        <fgColor theme="0"/>
        <bgColor rgb="FF000000"/>
      </patternFill>
    </fill>
    <fill>
      <patternFill patternType="solid">
        <fgColor theme="8" tint="0.79998168889431442"/>
        <bgColor rgb="FF000000"/>
      </patternFill>
    </fill>
    <fill>
      <patternFill patternType="solid">
        <fgColor theme="0" tint="-4.9989318521683403E-2"/>
        <bgColor indexed="64"/>
      </patternFill>
    </fill>
    <fill>
      <patternFill patternType="solid">
        <fgColor theme="4" tint="-0.249977111117893"/>
        <bgColor indexed="64"/>
      </patternFill>
    </fill>
    <fill>
      <patternFill patternType="solid">
        <fgColor theme="3"/>
        <bgColor rgb="FF000000"/>
      </patternFill>
    </fill>
    <fill>
      <patternFill patternType="solid">
        <fgColor theme="3" tint="0.79998168889431442"/>
        <bgColor rgb="FF000000"/>
      </patternFill>
    </fill>
    <fill>
      <patternFill patternType="solid">
        <fgColor rgb="FFF2F2F2"/>
        <bgColor indexed="64"/>
      </patternFill>
    </fill>
    <fill>
      <patternFill patternType="solid">
        <fgColor theme="1"/>
        <bgColor indexed="64"/>
      </patternFill>
    </fill>
    <fill>
      <patternFill patternType="solid">
        <fgColor theme="7" tint="0.79998168889431442"/>
        <bgColor rgb="FF000000"/>
      </patternFill>
    </fill>
    <fill>
      <patternFill patternType="solid">
        <fgColor theme="9"/>
        <bgColor rgb="FF000000"/>
      </patternFill>
    </fill>
    <fill>
      <patternFill patternType="solid">
        <fgColor rgb="FFF3F3F8"/>
        <bgColor rgb="FF000000"/>
      </patternFill>
    </fill>
    <fill>
      <patternFill patternType="solid">
        <fgColor rgb="FFF3F3F8"/>
        <bgColor indexed="64"/>
      </patternFill>
    </fill>
    <fill>
      <patternFill patternType="solid">
        <fgColor rgb="FF1F177D"/>
        <bgColor indexed="64"/>
      </patternFill>
    </fill>
    <fill>
      <patternFill patternType="solid">
        <fgColor rgb="FF7F7C7D"/>
        <bgColor indexed="64"/>
      </patternFill>
    </fill>
    <fill>
      <patternFill patternType="solid">
        <fgColor theme="0" tint="-0.14999847407452621"/>
        <bgColor rgb="FF000000"/>
      </patternFill>
    </fill>
    <fill>
      <patternFill patternType="solid">
        <fgColor rgb="FFFFFF00"/>
        <bgColor indexed="64"/>
      </patternFill>
    </fill>
    <fill>
      <patternFill patternType="solid">
        <fgColor rgb="FF1F177D"/>
        <bgColor rgb="FF000000"/>
      </patternFill>
    </fill>
    <fill>
      <patternFill patternType="solid">
        <fgColor rgb="FFFF4BA5"/>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7" tint="0.59999389629810485"/>
        <bgColor rgb="FF000000"/>
      </patternFill>
    </fill>
    <fill>
      <patternFill patternType="solid">
        <fgColor theme="0" tint="-0.14999847407452621"/>
        <bgColor indexed="64"/>
      </patternFill>
    </fill>
    <fill>
      <patternFill patternType="solid">
        <fgColor rgb="FFE2EFDA"/>
        <bgColor rgb="FF000000"/>
      </patternFill>
    </fill>
    <fill>
      <patternFill patternType="solid">
        <fgColor rgb="FF7F7C7D"/>
        <bgColor rgb="FF000000"/>
      </patternFill>
    </fill>
    <fill>
      <patternFill patternType="solid">
        <fgColor rgb="FFFFC000"/>
        <bgColor rgb="FF000000"/>
      </patternFill>
    </fill>
    <fill>
      <patternFill patternType="solid">
        <fgColor rgb="FF70AD47"/>
        <bgColor rgb="FF000000"/>
      </patternFill>
    </fill>
  </fills>
  <borders count="64">
    <border>
      <left/>
      <right/>
      <top/>
      <bottom/>
      <diagonal/>
    </border>
    <border>
      <left/>
      <right/>
      <top/>
      <bottom style="double">
        <color indexed="64"/>
      </bottom>
      <diagonal/>
    </border>
    <border>
      <left/>
      <right/>
      <top/>
      <bottom style="thin">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theme="0"/>
      </right>
      <top/>
      <bottom/>
      <diagonal/>
    </border>
    <border>
      <left style="thin">
        <color theme="0"/>
      </left>
      <right style="thin">
        <color theme="0"/>
      </right>
      <top style="thin">
        <color theme="0"/>
      </top>
      <bottom style="thin">
        <color theme="0"/>
      </bottom>
      <diagonal/>
    </border>
    <border>
      <left/>
      <right/>
      <top style="hair">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medium">
        <color indexed="64"/>
      </left>
      <right/>
      <top style="thin">
        <color indexed="64"/>
      </top>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right style="thin">
        <color rgb="FFFFFFFF"/>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tted">
        <color theme="2" tint="-0.499984740745262"/>
      </bottom>
      <diagonal/>
    </border>
    <border>
      <left/>
      <right style="thin">
        <color theme="0"/>
      </right>
      <top style="thin">
        <color theme="0"/>
      </top>
      <bottom style="thin">
        <color theme="0"/>
      </bottom>
      <diagonal/>
    </border>
    <border>
      <left/>
      <right style="thin">
        <color indexed="64"/>
      </right>
      <top/>
      <bottom style="thin">
        <color indexed="64"/>
      </bottom>
      <diagonal/>
    </border>
    <border>
      <left/>
      <right/>
      <top style="thin">
        <color indexed="64"/>
      </top>
      <bottom style="double">
        <color indexed="64"/>
      </bottom>
      <diagonal/>
    </border>
    <border>
      <left style="thin">
        <color theme="0"/>
      </left>
      <right/>
      <top style="thin">
        <color theme="0"/>
      </top>
      <bottom style="thin">
        <color theme="0"/>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medium">
        <color indexed="64"/>
      </bottom>
      <diagonal/>
    </border>
    <border>
      <left/>
      <right style="medium">
        <color indexed="64"/>
      </right>
      <top/>
      <bottom style="thin">
        <color indexed="64"/>
      </bottom>
      <diagonal/>
    </border>
    <border>
      <left/>
      <right/>
      <top/>
      <bottom style="hair">
        <color rgb="FF757171"/>
      </bottom>
      <diagonal/>
    </border>
    <border>
      <left/>
      <right/>
      <top style="hair">
        <color indexed="64"/>
      </top>
      <bottom style="double">
        <color indexed="64"/>
      </bottom>
      <diagonal/>
    </border>
    <border>
      <left/>
      <right/>
      <top style="hair">
        <color rgb="FF757171"/>
      </top>
      <bottom style="hair">
        <color rgb="FF757171"/>
      </bottom>
      <diagonal/>
    </border>
    <border>
      <left/>
      <right/>
      <top style="hair">
        <color indexed="64"/>
      </top>
      <bottom style="hair">
        <color rgb="FF757171"/>
      </bottom>
      <diagonal/>
    </border>
    <border>
      <left/>
      <right/>
      <top style="hair">
        <color rgb="FF757171"/>
      </top>
      <bottom style="double">
        <color indexed="64"/>
      </bottom>
      <diagonal/>
    </border>
    <border>
      <left/>
      <right/>
      <top style="medium">
        <color theme="0"/>
      </top>
      <bottom style="medium">
        <color theme="0"/>
      </bottom>
      <diagonal/>
    </border>
    <border>
      <left style="thin">
        <color theme="0"/>
      </left>
      <right/>
      <top style="medium">
        <color theme="0"/>
      </top>
      <bottom style="medium">
        <color theme="0"/>
      </bottom>
      <diagonal/>
    </border>
    <border>
      <left style="thin">
        <color theme="0"/>
      </left>
      <right/>
      <top/>
      <bottom/>
      <diagonal/>
    </border>
    <border>
      <left/>
      <right/>
      <top style="thin">
        <color indexed="64"/>
      </top>
      <bottom style="medium">
        <color indexed="64"/>
      </bottom>
      <diagonal/>
    </border>
    <border>
      <left style="medium">
        <color indexed="64"/>
      </left>
      <right/>
      <top/>
      <bottom style="thin">
        <color indexed="64"/>
      </bottom>
      <diagonal/>
    </border>
    <border>
      <left/>
      <right style="medium">
        <color indexed="64"/>
      </right>
      <top style="thin">
        <color indexed="64"/>
      </top>
      <bottom/>
      <diagonal/>
    </border>
    <border>
      <left style="thin">
        <color indexed="64"/>
      </left>
      <right/>
      <top/>
      <bottom/>
      <diagonal/>
    </border>
    <border>
      <left style="thin">
        <color indexed="64"/>
      </left>
      <right/>
      <top style="hair">
        <color indexed="64"/>
      </top>
      <bottom style="hair">
        <color indexed="64"/>
      </bottom>
      <diagonal/>
    </border>
    <border>
      <left style="thin">
        <color indexed="64"/>
      </left>
      <right style="thin">
        <color indexed="64"/>
      </right>
      <top/>
      <bottom style="thin">
        <color indexed="64"/>
      </bottom>
      <diagonal/>
    </border>
    <border>
      <left/>
      <right/>
      <top/>
      <bottom style="medium">
        <color rgb="FF211778"/>
      </bottom>
      <diagonal/>
    </border>
    <border>
      <left/>
      <right/>
      <top style="medium">
        <color rgb="FF211778"/>
      </top>
      <bottom style="medium">
        <color rgb="FF211778"/>
      </bottom>
      <diagonal/>
    </border>
    <border>
      <left style="medium">
        <color indexed="64"/>
      </left>
      <right/>
      <top style="double">
        <color indexed="64"/>
      </top>
      <bottom/>
      <diagonal/>
    </border>
    <border>
      <left/>
      <right/>
      <top style="double">
        <color indexed="64"/>
      </top>
      <bottom/>
      <diagonal/>
    </border>
  </borders>
  <cellStyleXfs count="70">
    <xf numFmtId="0" fontId="0" fillId="0" borderId="0"/>
    <xf numFmtId="9" fontId="8" fillId="0" borderId="0" applyFont="0" applyFill="0" applyBorder="0" applyAlignment="0" applyProtection="0"/>
    <xf numFmtId="0" fontId="16" fillId="0" borderId="0"/>
    <xf numFmtId="0" fontId="18" fillId="0" borderId="0" applyNumberFormat="0" applyFill="0" applyBorder="0" applyAlignment="0" applyProtection="0">
      <alignment vertical="top"/>
      <protection locked="0"/>
    </xf>
    <xf numFmtId="0" fontId="32" fillId="0" borderId="0"/>
    <xf numFmtId="9" fontId="32" fillId="0" borderId="0" applyFont="0" applyFill="0" applyBorder="0" applyAlignment="0" applyProtection="0"/>
    <xf numFmtId="0" fontId="32" fillId="0" borderId="0"/>
    <xf numFmtId="0" fontId="32" fillId="0" borderId="0"/>
    <xf numFmtId="0" fontId="32" fillId="0" borderId="0"/>
    <xf numFmtId="0" fontId="40" fillId="12" borderId="0"/>
    <xf numFmtId="0" fontId="32" fillId="0" borderId="0"/>
    <xf numFmtId="0" fontId="16" fillId="0" borderId="0"/>
    <xf numFmtId="0" fontId="32" fillId="0" borderId="0"/>
    <xf numFmtId="0" fontId="32" fillId="0" borderId="0"/>
    <xf numFmtId="9" fontId="16" fillId="0" borderId="0" applyFont="0" applyFill="0" applyBorder="0" applyAlignment="0" applyProtection="0"/>
    <xf numFmtId="172" fontId="32" fillId="0" borderId="0" applyFont="0" applyFill="0" applyBorder="0" applyAlignment="0" applyProtection="0"/>
    <xf numFmtId="164" fontId="16" fillId="0" borderId="0" applyFont="0" applyFill="0" applyBorder="0" applyAlignment="0" applyProtection="0"/>
    <xf numFmtId="9" fontId="16" fillId="0" borderId="0" applyFont="0" applyFill="0" applyBorder="0" applyAlignment="0" applyProtection="0"/>
    <xf numFmtId="0" fontId="48" fillId="0" borderId="0" applyNumberFormat="0" applyFill="0" applyBorder="0" applyAlignment="0" applyProtection="0"/>
    <xf numFmtId="0" fontId="32" fillId="0" borderId="0"/>
    <xf numFmtId="0" fontId="16" fillId="0" borderId="0"/>
    <xf numFmtId="9" fontId="32" fillId="0" borderId="0" applyFont="0" applyFill="0" applyBorder="0" applyAlignment="0" applyProtection="0"/>
    <xf numFmtId="43" fontId="8" fillId="0" borderId="0" applyFont="0" applyFill="0" applyBorder="0" applyAlignment="0" applyProtection="0"/>
    <xf numFmtId="44" fontId="8" fillId="0" borderId="0" applyFont="0" applyFill="0" applyBorder="0" applyAlignment="0" applyProtection="0"/>
    <xf numFmtId="0" fontId="7" fillId="0" borderId="0"/>
    <xf numFmtId="9" fontId="7" fillId="0" borderId="0" applyFont="0" applyFill="0" applyBorder="0" applyAlignment="0" applyProtection="0"/>
    <xf numFmtId="0" fontId="99" fillId="0" borderId="0"/>
    <xf numFmtId="0" fontId="6" fillId="0" borderId="0"/>
    <xf numFmtId="9" fontId="6"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9" fontId="8" fillId="0" borderId="0" applyFont="0" applyFill="0" applyBorder="0" applyAlignment="0" applyProtection="0"/>
    <xf numFmtId="0" fontId="5" fillId="0" borderId="0"/>
    <xf numFmtId="9" fontId="5"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72" fontId="4" fillId="0" borderId="0" applyFont="0" applyFill="0" applyBorder="0" applyAlignment="0" applyProtection="0"/>
    <xf numFmtId="41" fontId="16" fillId="0" borderId="0" applyFont="0" applyFill="0" applyBorder="0" applyAlignment="0" applyProtection="0"/>
    <xf numFmtId="0" fontId="4" fillId="0" borderId="0"/>
    <xf numFmtId="9" fontId="4" fillId="0" borderId="0" applyFont="0" applyFill="0" applyBorder="0" applyAlignment="0" applyProtection="0"/>
    <xf numFmtId="43" fontId="8"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43" fontId="8" fillId="0" borderId="0" applyFont="0" applyFill="0" applyBorder="0" applyAlignment="0" applyProtection="0"/>
    <xf numFmtId="9" fontId="4" fillId="0" borderId="0" applyFont="0" applyFill="0" applyBorder="0" applyAlignment="0" applyProtection="0"/>
    <xf numFmtId="41" fontId="16" fillId="0" borderId="0" applyFont="0" applyFill="0" applyBorder="0" applyAlignment="0" applyProtection="0"/>
    <xf numFmtId="0" fontId="99" fillId="0" borderId="0"/>
    <xf numFmtId="0" fontId="3" fillId="0" borderId="0"/>
    <xf numFmtId="0" fontId="3" fillId="0" borderId="0"/>
    <xf numFmtId="9" fontId="3" fillId="0" borderId="0" applyFont="0" applyFill="0" applyBorder="0" applyAlignment="0" applyProtection="0"/>
    <xf numFmtId="0" fontId="8" fillId="0" borderId="0"/>
    <xf numFmtId="0" fontId="1" fillId="0" borderId="0"/>
    <xf numFmtId="9" fontId="1" fillId="0" borderId="0" applyFont="0" applyFill="0" applyBorder="0" applyAlignment="0" applyProtection="0"/>
    <xf numFmtId="0" fontId="1" fillId="0" borderId="0"/>
    <xf numFmtId="195" fontId="1" fillId="0" borderId="0" applyFont="0" applyFill="0" applyBorder="0" applyAlignment="0" applyProtection="0"/>
  </cellStyleXfs>
  <cellXfs count="1244">
    <xf numFmtId="0" fontId="0" fillId="0" borderId="0" xfId="0"/>
    <xf numFmtId="0" fontId="10" fillId="2" borderId="0" xfId="0" applyFont="1" applyFill="1"/>
    <xf numFmtId="0" fontId="10" fillId="2" borderId="1" xfId="0" applyFont="1" applyFill="1" applyBorder="1"/>
    <xf numFmtId="0" fontId="12" fillId="2" borderId="2" xfId="0" applyFont="1" applyFill="1" applyBorder="1"/>
    <xf numFmtId="0" fontId="10" fillId="2" borderId="0" xfId="0" applyFont="1" applyFill="1" applyAlignment="1">
      <alignment horizontal="right"/>
    </xf>
    <xf numFmtId="0" fontId="12" fillId="2" borderId="0" xfId="0" applyFont="1" applyFill="1"/>
    <xf numFmtId="3" fontId="0" fillId="0" borderId="0" xfId="0" applyNumberFormat="1"/>
    <xf numFmtId="0" fontId="16" fillId="0" borderId="0" xfId="2"/>
    <xf numFmtId="10" fontId="16" fillId="0" borderId="0" xfId="2" applyNumberFormat="1"/>
    <xf numFmtId="167" fontId="16" fillId="0" borderId="0" xfId="2" applyNumberFormat="1"/>
    <xf numFmtId="0" fontId="16" fillId="0" borderId="0" xfId="0" applyFont="1"/>
    <xf numFmtId="0" fontId="17" fillId="0" borderId="0" xfId="0" applyFont="1"/>
    <xf numFmtId="0" fontId="19" fillId="0" borderId="0" xfId="2" applyFont="1"/>
    <xf numFmtId="0" fontId="20" fillId="0" borderId="0" xfId="2" applyFont="1" applyAlignment="1">
      <alignment horizontal="center" wrapText="1"/>
    </xf>
    <xf numFmtId="0" fontId="21" fillId="0" borderId="0" xfId="2" applyFont="1" applyAlignment="1">
      <alignment horizontal="center" wrapText="1"/>
    </xf>
    <xf numFmtId="168" fontId="16" fillId="0" borderId="0" xfId="2" applyNumberFormat="1"/>
    <xf numFmtId="0" fontId="22" fillId="0" borderId="0" xfId="2" applyFont="1" applyAlignment="1">
      <alignment horizontal="left"/>
    </xf>
    <xf numFmtId="0" fontId="23" fillId="0" borderId="0" xfId="2" applyFont="1" applyAlignment="1">
      <alignment horizontal="left"/>
    </xf>
    <xf numFmtId="0" fontId="16" fillId="0" borderId="0" xfId="2" applyAlignment="1">
      <alignment horizontal="left"/>
    </xf>
    <xf numFmtId="0" fontId="16" fillId="0" borderId="0" xfId="2" quotePrefix="1" applyAlignment="1">
      <alignment horizontal="left"/>
    </xf>
    <xf numFmtId="0" fontId="24" fillId="7" borderId="0" xfId="2" quotePrefix="1" applyFont="1" applyFill="1" applyAlignment="1">
      <alignment horizontal="left"/>
    </xf>
    <xf numFmtId="0" fontId="24" fillId="7" borderId="0" xfId="2" applyFont="1" applyFill="1"/>
    <xf numFmtId="0" fontId="24" fillId="7" borderId="0" xfId="2" applyFont="1" applyFill="1" applyAlignment="1">
      <alignment horizontal="center"/>
    </xf>
    <xf numFmtId="0" fontId="25" fillId="8" borderId="0" xfId="3" quotePrefix="1" applyFont="1" applyFill="1" applyAlignment="1" applyProtection="1">
      <alignment horizontal="left"/>
    </xf>
    <xf numFmtId="0" fontId="16" fillId="8" borderId="0" xfId="2" applyFill="1" applyAlignment="1">
      <alignment horizontal="left"/>
    </xf>
    <xf numFmtId="0" fontId="16" fillId="8" borderId="0" xfId="2" applyFill="1" applyAlignment="1">
      <alignment horizontal="center"/>
    </xf>
    <xf numFmtId="0" fontId="26" fillId="0" borderId="0" xfId="2" applyFont="1"/>
    <xf numFmtId="0" fontId="18" fillId="0" borderId="0" xfId="2" applyFont="1"/>
    <xf numFmtId="0" fontId="16" fillId="0" borderId="0" xfId="2" applyAlignment="1">
      <alignment horizontal="left" vertical="center"/>
    </xf>
    <xf numFmtId="0" fontId="27" fillId="0" borderId="0" xfId="2" applyFont="1"/>
    <xf numFmtId="166" fontId="16" fillId="0" borderId="0" xfId="0" applyNumberFormat="1" applyFont="1"/>
    <xf numFmtId="167" fontId="16" fillId="0" borderId="0" xfId="0" applyNumberFormat="1" applyFont="1"/>
    <xf numFmtId="2" fontId="0" fillId="0" borderId="0" xfId="0" applyNumberFormat="1"/>
    <xf numFmtId="0" fontId="13" fillId="0" borderId="0" xfId="0" applyFont="1"/>
    <xf numFmtId="0" fontId="29" fillId="0" borderId="1" xfId="0" applyFont="1" applyBorder="1" applyAlignment="1">
      <alignment horizontal="center" vertical="center"/>
    </xf>
    <xf numFmtId="0" fontId="29" fillId="0" borderId="1" xfId="0" applyFont="1" applyBorder="1" applyAlignment="1">
      <alignment horizontal="center" vertical="center" wrapText="1"/>
    </xf>
    <xf numFmtId="0" fontId="0" fillId="0" borderId="8" xfId="0" applyBorder="1"/>
    <xf numFmtId="0" fontId="28" fillId="0" borderId="12" xfId="0" applyFont="1" applyBorder="1" applyAlignment="1">
      <alignment horizontal="center"/>
    </xf>
    <xf numFmtId="0" fontId="28" fillId="0" borderId="12" xfId="0" applyFont="1" applyBorder="1" applyAlignment="1">
      <alignment horizontal="centerContinuous"/>
    </xf>
    <xf numFmtId="169" fontId="10" fillId="2" borderId="0" xfId="0" applyNumberFormat="1" applyFont="1" applyFill="1"/>
    <xf numFmtId="0" fontId="10" fillId="3" borderId="0" xfId="0" applyFont="1" applyFill="1"/>
    <xf numFmtId="0" fontId="10" fillId="3" borderId="1" xfId="0" applyFont="1" applyFill="1" applyBorder="1"/>
    <xf numFmtId="170" fontId="16" fillId="0" borderId="0" xfId="2" applyNumberFormat="1"/>
    <xf numFmtId="0" fontId="16" fillId="0" borderId="0" xfId="2" applyAlignment="1">
      <alignment horizontal="right"/>
    </xf>
    <xf numFmtId="2" fontId="16" fillId="0" borderId="0" xfId="2" applyNumberFormat="1"/>
    <xf numFmtId="0" fontId="31" fillId="0" borderId="0" xfId="0" applyFont="1"/>
    <xf numFmtId="0" fontId="9" fillId="9" borderId="1" xfId="0" applyFont="1" applyFill="1" applyBorder="1" applyAlignment="1">
      <alignment horizontal="center" vertical="center"/>
    </xf>
    <xf numFmtId="0" fontId="31" fillId="9" borderId="1" xfId="0" applyFont="1" applyFill="1" applyBorder="1" applyAlignment="1">
      <alignment horizontal="center" vertical="center"/>
    </xf>
    <xf numFmtId="0" fontId="0" fillId="9" borderId="4" xfId="0" applyFill="1" applyBorder="1"/>
    <xf numFmtId="0" fontId="0" fillId="9" borderId="5" xfId="0" applyFill="1" applyBorder="1"/>
    <xf numFmtId="0" fontId="0" fillId="9" borderId="9" xfId="0" applyFill="1" applyBorder="1"/>
    <xf numFmtId="0" fontId="0" fillId="9" borderId="0" xfId="0" applyFill="1"/>
    <xf numFmtId="0" fontId="0" fillId="9" borderId="7" xfId="0" applyFill="1" applyBorder="1"/>
    <xf numFmtId="0" fontId="0" fillId="9" borderId="8" xfId="0" applyFill="1" applyBorder="1"/>
    <xf numFmtId="2" fontId="13" fillId="0" borderId="0" xfId="0" applyNumberFormat="1" applyFont="1"/>
    <xf numFmtId="9" fontId="0" fillId="0" borderId="0" xfId="1" applyFont="1"/>
    <xf numFmtId="10" fontId="0" fillId="0" borderId="0" xfId="1" applyNumberFormat="1" applyFont="1"/>
    <xf numFmtId="2" fontId="31" fillId="0" borderId="0" xfId="0" applyNumberFormat="1" applyFont="1"/>
    <xf numFmtId="2" fontId="9" fillId="0" borderId="0" xfId="0" applyNumberFormat="1" applyFont="1"/>
    <xf numFmtId="3" fontId="13" fillId="0" borderId="0" xfId="0" applyNumberFormat="1" applyFont="1"/>
    <xf numFmtId="3" fontId="0" fillId="9" borderId="6" xfId="0" applyNumberFormat="1" applyFill="1" applyBorder="1"/>
    <xf numFmtId="3" fontId="0" fillId="9" borderId="10" xfId="0" applyNumberFormat="1" applyFill="1" applyBorder="1"/>
    <xf numFmtId="3" fontId="0" fillId="9" borderId="11" xfId="0" applyNumberFormat="1" applyFill="1" applyBorder="1"/>
    <xf numFmtId="10" fontId="10" fillId="2" borderId="0" xfId="0" applyNumberFormat="1" applyFont="1" applyFill="1"/>
    <xf numFmtId="10" fontId="16" fillId="0" borderId="0" xfId="1" applyNumberFormat="1" applyFont="1"/>
    <xf numFmtId="3" fontId="32" fillId="0" borderId="0" xfId="4" applyNumberFormat="1"/>
    <xf numFmtId="165" fontId="10" fillId="2" borderId="0" xfId="0" applyNumberFormat="1" applyFont="1" applyFill="1"/>
    <xf numFmtId="0" fontId="33" fillId="10" borderId="17" xfId="0" applyFont="1" applyFill="1" applyBorder="1"/>
    <xf numFmtId="0" fontId="33" fillId="6" borderId="17" xfId="0" applyFont="1" applyFill="1" applyBorder="1" applyAlignment="1">
      <alignment horizontal="right"/>
    </xf>
    <xf numFmtId="171" fontId="10" fillId="2" borderId="0" xfId="1" applyNumberFormat="1" applyFont="1" applyFill="1"/>
    <xf numFmtId="10" fontId="10" fillId="2" borderId="0" xfId="1" applyNumberFormat="1" applyFont="1" applyFill="1"/>
    <xf numFmtId="0" fontId="34" fillId="0" borderId="0" xfId="4" applyFont="1"/>
    <xf numFmtId="0" fontId="32" fillId="0" borderId="0" xfId="4"/>
    <xf numFmtId="0" fontId="35" fillId="0" borderId="0" xfId="4" applyFont="1"/>
    <xf numFmtId="10" fontId="35" fillId="0" borderId="0" xfId="5" applyNumberFormat="1" applyFont="1"/>
    <xf numFmtId="171" fontId="35" fillId="0" borderId="0" xfId="5" applyNumberFormat="1" applyFont="1"/>
    <xf numFmtId="171" fontId="35" fillId="5" borderId="0" xfId="5" applyNumberFormat="1" applyFont="1" applyFill="1"/>
    <xf numFmtId="9" fontId="35" fillId="0" borderId="0" xfId="5" applyFont="1"/>
    <xf numFmtId="9" fontId="35" fillId="0" borderId="0" xfId="4" applyNumberFormat="1" applyFont="1"/>
    <xf numFmtId="0" fontId="36" fillId="0" borderId="0" xfId="4" applyFont="1"/>
    <xf numFmtId="3" fontId="36" fillId="0" borderId="0" xfId="4" applyNumberFormat="1" applyFont="1"/>
    <xf numFmtId="9" fontId="36" fillId="0" borderId="0" xfId="5" applyFont="1"/>
    <xf numFmtId="9" fontId="36" fillId="0" borderId="0" xfId="4" applyNumberFormat="1" applyFont="1"/>
    <xf numFmtId="171" fontId="36" fillId="0" borderId="0" xfId="5" applyNumberFormat="1" applyFont="1"/>
    <xf numFmtId="9" fontId="32" fillId="0" borderId="0" xfId="4" applyNumberFormat="1"/>
    <xf numFmtId="3" fontId="36" fillId="0" borderId="0" xfId="5" applyNumberFormat="1" applyFont="1"/>
    <xf numFmtId="171" fontId="36" fillId="0" borderId="0" xfId="4" applyNumberFormat="1" applyFont="1"/>
    <xf numFmtId="9" fontId="0" fillId="0" borderId="0" xfId="5" applyFont="1"/>
    <xf numFmtId="171" fontId="32" fillId="0" borderId="0" xfId="4" applyNumberFormat="1"/>
    <xf numFmtId="3" fontId="0" fillId="0" borderId="0" xfId="5" applyNumberFormat="1" applyFont="1"/>
    <xf numFmtId="10" fontId="32" fillId="0" borderId="0" xfId="4" applyNumberFormat="1"/>
    <xf numFmtId="9" fontId="0" fillId="0" borderId="0" xfId="5" applyFont="1" applyFill="1"/>
    <xf numFmtId="171" fontId="0" fillId="0" borderId="0" xfId="5" applyNumberFormat="1" applyFont="1"/>
    <xf numFmtId="3" fontId="36" fillId="0" borderId="0" xfId="5" applyNumberFormat="1" applyFont="1" applyFill="1"/>
    <xf numFmtId="9" fontId="36" fillId="0" borderId="0" xfId="5" applyFont="1" applyFill="1"/>
    <xf numFmtId="171" fontId="36" fillId="0" borderId="0" xfId="5" applyNumberFormat="1" applyFont="1" applyFill="1"/>
    <xf numFmtId="10" fontId="32" fillId="11" borderId="0" xfId="4" applyNumberFormat="1" applyFill="1"/>
    <xf numFmtId="10" fontId="0" fillId="11" borderId="0" xfId="5" applyNumberFormat="1" applyFont="1" applyFill="1"/>
    <xf numFmtId="169" fontId="32" fillId="0" borderId="0" xfId="4" applyNumberFormat="1"/>
    <xf numFmtId="0" fontId="34" fillId="3" borderId="0" xfId="4" applyFont="1" applyFill="1"/>
    <xf numFmtId="10" fontId="0" fillId="0" borderId="0" xfId="5" applyNumberFormat="1" applyFont="1" applyFill="1"/>
    <xf numFmtId="10" fontId="0" fillId="3" borderId="0" xfId="5" applyNumberFormat="1" applyFont="1" applyFill="1"/>
    <xf numFmtId="10" fontId="32" fillId="3" borderId="0" xfId="4" applyNumberFormat="1" applyFill="1"/>
    <xf numFmtId="0" fontId="39" fillId="0" borderId="0" xfId="6" applyFont="1" applyAlignment="1">
      <alignment vertical="center"/>
    </xf>
    <xf numFmtId="0" fontId="38" fillId="2" borderId="0" xfId="7" applyFont="1" applyFill="1"/>
    <xf numFmtId="0" fontId="38" fillId="2" borderId="0" xfId="8" applyFont="1" applyFill="1" applyAlignment="1" applyProtection="1">
      <alignment horizontal="center"/>
      <protection hidden="1"/>
    </xf>
    <xf numFmtId="0" fontId="38" fillId="2" borderId="0" xfId="8" applyFont="1" applyFill="1" applyProtection="1">
      <protection hidden="1"/>
    </xf>
    <xf numFmtId="0" fontId="38" fillId="2" borderId="0" xfId="9" applyFont="1" applyFill="1" applyProtection="1">
      <protection hidden="1"/>
    </xf>
    <xf numFmtId="0" fontId="41" fillId="13" borderId="19" xfId="8" applyFont="1" applyFill="1" applyBorder="1" applyAlignment="1" applyProtection="1">
      <alignment horizontal="center"/>
      <protection hidden="1"/>
    </xf>
    <xf numFmtId="3" fontId="41" fillId="13" borderId="19" xfId="8" applyNumberFormat="1" applyFont="1" applyFill="1" applyBorder="1" applyAlignment="1" applyProtection="1">
      <alignment horizontal="right"/>
      <protection hidden="1"/>
    </xf>
    <xf numFmtId="3" fontId="41" fillId="13" borderId="19" xfId="8" quotePrefix="1" applyNumberFormat="1" applyFont="1" applyFill="1" applyBorder="1" applyAlignment="1" applyProtection="1">
      <alignment horizontal="right"/>
      <protection hidden="1"/>
    </xf>
    <xf numFmtId="0" fontId="41" fillId="14" borderId="19" xfId="8" applyFont="1" applyFill="1" applyBorder="1" applyAlignment="1" applyProtection="1">
      <alignment horizontal="right"/>
      <protection hidden="1"/>
    </xf>
    <xf numFmtId="3" fontId="41" fillId="13" borderId="19" xfId="9" applyNumberFormat="1" applyFont="1" applyFill="1" applyBorder="1" applyAlignment="1" applyProtection="1">
      <alignment horizontal="right"/>
      <protection hidden="1"/>
    </xf>
    <xf numFmtId="0" fontId="41" fillId="14" borderId="19" xfId="9" applyFont="1" applyFill="1" applyBorder="1" applyAlignment="1" applyProtection="1">
      <alignment horizontal="right"/>
      <protection hidden="1"/>
    </xf>
    <xf numFmtId="49" fontId="37" fillId="2" borderId="2" xfId="7" applyNumberFormat="1" applyFont="1" applyFill="1" applyBorder="1" applyAlignment="1">
      <alignment horizontal="left" vertical="center"/>
    </xf>
    <xf numFmtId="0" fontId="42" fillId="2" borderId="2" xfId="7" applyFont="1" applyFill="1" applyBorder="1"/>
    <xf numFmtId="49" fontId="38" fillId="2" borderId="2" xfId="7" applyNumberFormat="1" applyFont="1" applyFill="1" applyBorder="1" applyAlignment="1">
      <alignment horizontal="center" vertical="center"/>
    </xf>
    <xf numFmtId="3" fontId="37" fillId="2" borderId="2" xfId="8" applyNumberFormat="1" applyFont="1" applyFill="1" applyBorder="1" applyAlignment="1" applyProtection="1">
      <alignment horizontal="right"/>
      <protection hidden="1"/>
    </xf>
    <xf numFmtId="3" fontId="37" fillId="2" borderId="2" xfId="8" quotePrefix="1" applyNumberFormat="1" applyFont="1" applyFill="1" applyBorder="1" applyAlignment="1" applyProtection="1">
      <alignment horizontal="right"/>
      <protection hidden="1"/>
    </xf>
    <xf numFmtId="0" fontId="37" fillId="2" borderId="2" xfId="8" applyFont="1" applyFill="1" applyBorder="1" applyAlignment="1" applyProtection="1">
      <alignment horizontal="right"/>
      <protection hidden="1"/>
    </xf>
    <xf numFmtId="0" fontId="42" fillId="2" borderId="0" xfId="7" applyFont="1" applyFill="1"/>
    <xf numFmtId="0" fontId="37" fillId="2" borderId="2" xfId="9" applyFont="1" applyFill="1" applyBorder="1" applyAlignment="1" applyProtection="1">
      <alignment horizontal="right"/>
      <protection hidden="1"/>
    </xf>
    <xf numFmtId="0" fontId="37" fillId="2" borderId="0" xfId="10" applyFont="1" applyFill="1" applyProtection="1">
      <protection hidden="1"/>
    </xf>
    <xf numFmtId="0" fontId="38" fillId="2" borderId="0" xfId="7" applyFont="1" applyFill="1" applyAlignment="1">
      <alignment horizontal="center"/>
    </xf>
    <xf numFmtId="0" fontId="38" fillId="2" borderId="0" xfId="11" applyFont="1" applyFill="1"/>
    <xf numFmtId="174" fontId="38" fillId="2" borderId="0" xfId="10" applyNumberFormat="1" applyFont="1" applyFill="1" applyAlignment="1" applyProtection="1">
      <alignment horizontal="left"/>
      <protection hidden="1"/>
    </xf>
    <xf numFmtId="0" fontId="37" fillId="2" borderId="0" xfId="7" applyFont="1" applyFill="1"/>
    <xf numFmtId="3" fontId="41" fillId="14" borderId="19" xfId="8" applyNumberFormat="1" applyFont="1" applyFill="1" applyBorder="1" applyAlignment="1" applyProtection="1">
      <alignment horizontal="right"/>
      <protection hidden="1"/>
    </xf>
    <xf numFmtId="0" fontId="37" fillId="2" borderId="0" xfId="8" applyFont="1" applyFill="1" applyProtection="1">
      <protection hidden="1"/>
    </xf>
    <xf numFmtId="3" fontId="37" fillId="2" borderId="0" xfId="8" applyNumberFormat="1" applyFont="1" applyFill="1" applyAlignment="1" applyProtection="1">
      <alignment horizontal="right"/>
      <protection hidden="1"/>
    </xf>
    <xf numFmtId="3" fontId="37" fillId="2" borderId="0" xfId="8" quotePrefix="1" applyNumberFormat="1" applyFont="1" applyFill="1" applyAlignment="1" applyProtection="1">
      <alignment horizontal="right"/>
      <protection hidden="1"/>
    </xf>
    <xf numFmtId="0" fontId="37" fillId="2" borderId="0" xfId="8" applyFont="1" applyFill="1" applyAlignment="1" applyProtection="1">
      <alignment horizontal="right"/>
      <protection hidden="1"/>
    </xf>
    <xf numFmtId="0" fontId="37" fillId="2" borderId="0" xfId="9" applyFont="1" applyFill="1" applyAlignment="1" applyProtection="1">
      <alignment horizontal="right"/>
      <protection hidden="1"/>
    </xf>
    <xf numFmtId="0" fontId="38" fillId="2" borderId="0" xfId="8" applyFont="1" applyFill="1" applyAlignment="1" applyProtection="1">
      <alignment horizontal="left" indent="1"/>
      <protection hidden="1"/>
    </xf>
    <xf numFmtId="3" fontId="38" fillId="2" borderId="0" xfId="8" applyNumberFormat="1" applyFont="1" applyFill="1" applyProtection="1">
      <protection hidden="1"/>
    </xf>
    <xf numFmtId="3" fontId="38" fillId="2" borderId="0" xfId="9" applyNumberFormat="1" applyFont="1" applyFill="1" applyProtection="1">
      <protection hidden="1"/>
    </xf>
    <xf numFmtId="3" fontId="43" fillId="2" borderId="0" xfId="10" applyNumberFormat="1" applyFont="1" applyFill="1" applyAlignment="1" applyProtection="1">
      <alignment horizontal="right"/>
      <protection hidden="1"/>
    </xf>
    <xf numFmtId="0" fontId="37" fillId="2" borderId="20" xfId="8" applyFont="1" applyFill="1" applyBorder="1" applyProtection="1">
      <protection hidden="1"/>
    </xf>
    <xf numFmtId="0" fontId="38" fillId="2" borderId="20" xfId="8" applyFont="1" applyFill="1" applyBorder="1" applyAlignment="1" applyProtection="1">
      <alignment horizontal="center"/>
      <protection hidden="1"/>
    </xf>
    <xf numFmtId="3" fontId="37" fillId="2" borderId="20" xfId="8" applyNumberFormat="1" applyFont="1" applyFill="1" applyBorder="1" applyProtection="1">
      <protection hidden="1"/>
    </xf>
    <xf numFmtId="3" fontId="37" fillId="2" borderId="20" xfId="9" applyNumberFormat="1" applyFont="1" applyFill="1" applyBorder="1" applyProtection="1">
      <protection hidden="1"/>
    </xf>
    <xf numFmtId="0" fontId="32" fillId="2" borderId="0" xfId="12" applyFill="1"/>
    <xf numFmtId="0" fontId="37" fillId="2" borderId="2" xfId="8" applyFont="1" applyFill="1" applyBorder="1" applyProtection="1">
      <protection hidden="1"/>
    </xf>
    <xf numFmtId="0" fontId="38" fillId="2" borderId="2" xfId="8" applyFont="1" applyFill="1" applyBorder="1" applyAlignment="1" applyProtection="1">
      <alignment horizontal="center"/>
      <protection hidden="1"/>
    </xf>
    <xf numFmtId="3" fontId="38" fillId="2" borderId="2" xfId="8" applyNumberFormat="1" applyFont="1" applyFill="1" applyBorder="1" applyProtection="1">
      <protection hidden="1"/>
    </xf>
    <xf numFmtId="3" fontId="38" fillId="2" borderId="2" xfId="9" applyNumberFormat="1" applyFont="1" applyFill="1" applyBorder="1" applyProtection="1">
      <protection hidden="1"/>
    </xf>
    <xf numFmtId="3" fontId="37" fillId="2" borderId="20" xfId="8" applyNumberFormat="1" applyFont="1" applyFill="1" applyBorder="1" applyAlignment="1" applyProtection="1">
      <alignment horizontal="right"/>
      <protection hidden="1"/>
    </xf>
    <xf numFmtId="3" fontId="37" fillId="2" borderId="20" xfId="9" applyNumberFormat="1" applyFont="1" applyFill="1" applyBorder="1" applyAlignment="1" applyProtection="1">
      <alignment horizontal="right"/>
      <protection hidden="1"/>
    </xf>
    <xf numFmtId="0" fontId="37" fillId="2" borderId="13" xfId="8" applyFont="1" applyFill="1" applyBorder="1" applyProtection="1">
      <protection hidden="1"/>
    </xf>
    <xf numFmtId="0" fontId="38" fillId="2" borderId="13" xfId="8" applyFont="1" applyFill="1" applyBorder="1" applyAlignment="1" applyProtection="1">
      <alignment horizontal="center"/>
      <protection hidden="1"/>
    </xf>
    <xf numFmtId="3" fontId="37" fillId="2" borderId="13" xfId="8" applyNumberFormat="1" applyFont="1" applyFill="1" applyBorder="1" applyProtection="1">
      <protection hidden="1"/>
    </xf>
    <xf numFmtId="3" fontId="37" fillId="2" borderId="13" xfId="9" applyNumberFormat="1" applyFont="1" applyFill="1" applyBorder="1" applyProtection="1">
      <protection hidden="1"/>
    </xf>
    <xf numFmtId="0" fontId="44" fillId="2" borderId="0" xfId="8" applyFont="1" applyFill="1" applyAlignment="1" applyProtection="1">
      <alignment horizontal="left" indent="1"/>
      <protection hidden="1"/>
    </xf>
    <xf numFmtId="0" fontId="45" fillId="2" borderId="0" xfId="8" applyFont="1" applyFill="1" applyAlignment="1" applyProtection="1">
      <alignment horizontal="center"/>
      <protection hidden="1"/>
    </xf>
    <xf numFmtId="171" fontId="44" fillId="2" borderId="0" xfId="13" applyNumberFormat="1" applyFont="1" applyFill="1" applyProtection="1">
      <protection hidden="1"/>
    </xf>
    <xf numFmtId="171" fontId="44" fillId="2" borderId="0" xfId="14" applyNumberFormat="1" applyFont="1" applyFill="1" applyProtection="1">
      <protection hidden="1"/>
    </xf>
    <xf numFmtId="171" fontId="38" fillId="2" borderId="0" xfId="12" applyNumberFormat="1" applyFont="1" applyFill="1" applyProtection="1">
      <protection hidden="1"/>
    </xf>
    <xf numFmtId="3" fontId="37" fillId="2" borderId="0" xfId="8" applyNumberFormat="1" applyFont="1" applyFill="1" applyProtection="1">
      <protection hidden="1"/>
    </xf>
    <xf numFmtId="3" fontId="37" fillId="2" borderId="0" xfId="9" applyNumberFormat="1" applyFont="1" applyFill="1" applyProtection="1">
      <protection hidden="1"/>
    </xf>
    <xf numFmtId="3" fontId="38" fillId="0" borderId="0" xfId="8" applyNumberFormat="1" applyFont="1" applyProtection="1">
      <protection hidden="1"/>
    </xf>
    <xf numFmtId="171" fontId="44" fillId="2" borderId="0" xfId="8" applyNumberFormat="1" applyFont="1" applyFill="1" applyProtection="1">
      <protection hidden="1"/>
    </xf>
    <xf numFmtId="171" fontId="44" fillId="2" borderId="0" xfId="9" applyNumberFormat="1" applyFont="1" applyFill="1" applyProtection="1">
      <protection hidden="1"/>
    </xf>
    <xf numFmtId="0" fontId="42" fillId="0" borderId="0" xfId="7" applyFont="1" applyAlignment="1">
      <alignment vertical="center"/>
    </xf>
    <xf numFmtId="49" fontId="38" fillId="2" borderId="0" xfId="7" applyNumberFormat="1" applyFont="1" applyFill="1" applyAlignment="1">
      <alignment horizontal="left" vertical="center"/>
    </xf>
    <xf numFmtId="49" fontId="38" fillId="2" borderId="0" xfId="7" applyNumberFormat="1" applyFont="1" applyFill="1" applyAlignment="1">
      <alignment horizontal="center" vertical="center"/>
    </xf>
    <xf numFmtId="3" fontId="38" fillId="2" borderId="0" xfId="7" applyNumberFormat="1" applyFont="1" applyFill="1"/>
    <xf numFmtId="173" fontId="38" fillId="2" borderId="0" xfId="7" applyNumberFormat="1" applyFont="1" applyFill="1"/>
    <xf numFmtId="3" fontId="42" fillId="2" borderId="0" xfId="7" applyNumberFormat="1" applyFont="1" applyFill="1"/>
    <xf numFmtId="3" fontId="38" fillId="2" borderId="0" xfId="11" applyNumberFormat="1" applyFont="1" applyFill="1"/>
    <xf numFmtId="3" fontId="38" fillId="2" borderId="0" xfId="11" applyNumberFormat="1" applyFont="1" applyFill="1" applyAlignment="1">
      <alignment wrapText="1"/>
    </xf>
    <xf numFmtId="171" fontId="38" fillId="2" borderId="0" xfId="7" applyNumberFormat="1" applyFont="1" applyFill="1"/>
    <xf numFmtId="171" fontId="38" fillId="2" borderId="0" xfId="11" applyNumberFormat="1" applyFont="1" applyFill="1"/>
    <xf numFmtId="167" fontId="42" fillId="2" borderId="0" xfId="7" applyNumberFormat="1" applyFont="1" applyFill="1"/>
    <xf numFmtId="167" fontId="42" fillId="2" borderId="0" xfId="11" applyNumberFormat="1" applyFont="1" applyFill="1"/>
    <xf numFmtId="171" fontId="42" fillId="2" borderId="0" xfId="7" applyNumberFormat="1" applyFont="1" applyFill="1"/>
    <xf numFmtId="171" fontId="42" fillId="2" borderId="0" xfId="11" applyNumberFormat="1" applyFont="1" applyFill="1"/>
    <xf numFmtId="49" fontId="37" fillId="4" borderId="0" xfId="7" applyNumberFormat="1" applyFont="1" applyFill="1" applyAlignment="1">
      <alignment horizontal="left" vertical="center"/>
    </xf>
    <xf numFmtId="49" fontId="38" fillId="4" borderId="0" xfId="7" applyNumberFormat="1" applyFont="1" applyFill="1" applyAlignment="1">
      <alignment horizontal="center" vertical="center"/>
    </xf>
    <xf numFmtId="0" fontId="38" fillId="4" borderId="0" xfId="7" applyFont="1" applyFill="1"/>
    <xf numFmtId="0" fontId="42" fillId="4" borderId="0" xfId="7" applyFont="1" applyFill="1"/>
    <xf numFmtId="171" fontId="42" fillId="4" borderId="0" xfId="7" applyNumberFormat="1" applyFont="1" applyFill="1"/>
    <xf numFmtId="171" fontId="38" fillId="4" borderId="0" xfId="7" applyNumberFormat="1" applyFont="1" applyFill="1"/>
    <xf numFmtId="3" fontId="42" fillId="4" borderId="0" xfId="7" applyNumberFormat="1" applyFont="1" applyFill="1"/>
    <xf numFmtId="3" fontId="42" fillId="4" borderId="0" xfId="11" applyNumberFormat="1" applyFont="1" applyFill="1"/>
    <xf numFmtId="171" fontId="38" fillId="4" borderId="0" xfId="11" applyNumberFormat="1" applyFont="1" applyFill="1"/>
    <xf numFmtId="49" fontId="38" fillId="4" borderId="0" xfId="7" applyNumberFormat="1" applyFont="1" applyFill="1" applyAlignment="1">
      <alignment horizontal="left" vertical="center"/>
    </xf>
    <xf numFmtId="3" fontId="38" fillId="4" borderId="0" xfId="7" applyNumberFormat="1" applyFont="1" applyFill="1"/>
    <xf numFmtId="172" fontId="42" fillId="4" borderId="0" xfId="15" applyFont="1" applyFill="1" applyBorder="1"/>
    <xf numFmtId="164" fontId="42" fillId="4" borderId="0" xfId="16" applyFont="1" applyFill="1" applyBorder="1"/>
    <xf numFmtId="171" fontId="42" fillId="4" borderId="0" xfId="12" applyNumberFormat="1" applyFont="1" applyFill="1"/>
    <xf numFmtId="171" fontId="42" fillId="4" borderId="0" xfId="17" applyNumberFormat="1" applyFont="1" applyFill="1" applyBorder="1"/>
    <xf numFmtId="173" fontId="42" fillId="4" borderId="0" xfId="7" applyNumberFormat="1" applyFont="1" applyFill="1"/>
    <xf numFmtId="173" fontId="38" fillId="4" borderId="0" xfId="7" applyNumberFormat="1" applyFont="1" applyFill="1"/>
    <xf numFmtId="173" fontId="38" fillId="4" borderId="0" xfId="11" applyNumberFormat="1" applyFont="1" applyFill="1"/>
    <xf numFmtId="0" fontId="38" fillId="4" borderId="0" xfId="11" applyFont="1" applyFill="1"/>
    <xf numFmtId="1" fontId="42" fillId="4" borderId="0" xfId="7" applyNumberFormat="1" applyFont="1" applyFill="1"/>
    <xf numFmtId="172" fontId="38" fillId="4" borderId="0" xfId="15" applyFont="1" applyFill="1" applyBorder="1"/>
    <xf numFmtId="164" fontId="38" fillId="4" borderId="0" xfId="16" applyFont="1" applyFill="1" applyBorder="1"/>
    <xf numFmtId="0" fontId="42" fillId="0" borderId="0" xfId="7" applyFont="1"/>
    <xf numFmtId="49" fontId="38" fillId="0" borderId="0" xfId="7" applyNumberFormat="1" applyFont="1" applyAlignment="1">
      <alignment horizontal="left" vertical="center"/>
    </xf>
    <xf numFmtId="49" fontId="38" fillId="0" borderId="0" xfId="7" applyNumberFormat="1" applyFont="1" applyAlignment="1">
      <alignment horizontal="center" vertical="center"/>
    </xf>
    <xf numFmtId="3" fontId="38" fillId="0" borderId="0" xfId="7" applyNumberFormat="1" applyFont="1"/>
    <xf numFmtId="173" fontId="38" fillId="0" borderId="0" xfId="7" applyNumberFormat="1" applyFont="1"/>
    <xf numFmtId="173" fontId="42" fillId="0" borderId="0" xfId="7" applyNumberFormat="1" applyFont="1"/>
    <xf numFmtId="173" fontId="38" fillId="0" borderId="0" xfId="11" applyNumberFormat="1" applyFont="1"/>
    <xf numFmtId="49" fontId="38" fillId="0" borderId="0" xfId="7" applyNumberFormat="1" applyFont="1" applyAlignment="1">
      <alignment horizontal="left" vertical="center" indent="2"/>
    </xf>
    <xf numFmtId="0" fontId="42" fillId="2" borderId="0" xfId="11" applyFont="1" applyFill="1"/>
    <xf numFmtId="3" fontId="37" fillId="2" borderId="2" xfId="9" applyNumberFormat="1" applyFont="1" applyFill="1" applyBorder="1" applyAlignment="1" applyProtection="1">
      <alignment horizontal="right"/>
      <protection hidden="1"/>
    </xf>
    <xf numFmtId="167" fontId="38" fillId="2" borderId="0" xfId="7" applyNumberFormat="1" applyFont="1" applyFill="1"/>
    <xf numFmtId="167" fontId="38" fillId="2" borderId="0" xfId="11" applyNumberFormat="1" applyFont="1" applyFill="1"/>
    <xf numFmtId="3" fontId="37" fillId="2" borderId="0" xfId="7" applyNumberFormat="1" applyFont="1" applyFill="1"/>
    <xf numFmtId="3" fontId="37" fillId="2" borderId="0" xfId="11" applyNumberFormat="1" applyFont="1" applyFill="1"/>
    <xf numFmtId="0" fontId="38" fillId="2" borderId="0" xfId="7" applyFont="1" applyFill="1" applyAlignment="1">
      <alignment horizontal="left" indent="1"/>
    </xf>
    <xf numFmtId="175" fontId="46" fillId="2" borderId="0" xfId="8" applyNumberFormat="1" applyFont="1" applyFill="1" applyAlignment="1">
      <alignment vertical="center"/>
    </xf>
    <xf numFmtId="175" fontId="46" fillId="2" borderId="0" xfId="9" applyNumberFormat="1" applyFont="1" applyFill="1" applyAlignment="1">
      <alignment vertical="center"/>
    </xf>
    <xf numFmtId="0" fontId="41" fillId="13" borderId="19" xfId="8" applyFont="1" applyFill="1" applyBorder="1" applyAlignment="1" applyProtection="1">
      <alignment horizontal="right"/>
      <protection hidden="1"/>
    </xf>
    <xf numFmtId="0" fontId="38" fillId="2" borderId="0" xfId="7" applyFont="1" applyFill="1" applyAlignment="1">
      <alignment horizontal="left" wrapText="1" indent="1"/>
    </xf>
    <xf numFmtId="176" fontId="43" fillId="15" borderId="0" xfId="8" applyNumberFormat="1" applyFont="1" applyFill="1" applyAlignment="1">
      <alignment horizontal="left"/>
    </xf>
    <xf numFmtId="0" fontId="37" fillId="2" borderId="0" xfId="8" applyFont="1" applyFill="1" applyAlignment="1" applyProtection="1">
      <alignment horizontal="center"/>
      <protection hidden="1"/>
    </xf>
    <xf numFmtId="176" fontId="47" fillId="2" borderId="0" xfId="8" applyNumberFormat="1" applyFont="1" applyFill="1"/>
    <xf numFmtId="0" fontId="37" fillId="2" borderId="0" xfId="7" applyFont="1" applyFill="1" applyAlignment="1">
      <alignment horizontal="center"/>
    </xf>
    <xf numFmtId="0" fontId="38" fillId="2" borderId="0" xfId="11" applyFont="1" applyFill="1" applyAlignment="1">
      <alignment horizontal="left" indent="1"/>
    </xf>
    <xf numFmtId="0" fontId="38" fillId="2" borderId="0" xfId="9" applyFont="1" applyFill="1" applyAlignment="1" applyProtection="1">
      <alignment horizontal="center"/>
      <protection hidden="1"/>
    </xf>
    <xf numFmtId="176" fontId="47" fillId="15" borderId="0" xfId="8" applyNumberFormat="1" applyFont="1" applyFill="1"/>
    <xf numFmtId="177" fontId="10" fillId="2" borderId="0" xfId="1" applyNumberFormat="1" applyFont="1" applyFill="1"/>
    <xf numFmtId="0" fontId="11" fillId="2" borderId="0" xfId="0" applyFont="1" applyFill="1"/>
    <xf numFmtId="0" fontId="10" fillId="2" borderId="0" xfId="0" applyFont="1" applyFill="1" applyAlignment="1">
      <alignment vertical="center" textRotation="90"/>
    </xf>
    <xf numFmtId="0" fontId="10" fillId="2" borderId="0" xfId="0" applyFont="1" applyFill="1" applyAlignment="1">
      <alignment horizontal="center" vertical="center" textRotation="90"/>
    </xf>
    <xf numFmtId="0" fontId="49" fillId="2" borderId="0" xfId="0" applyFont="1" applyFill="1"/>
    <xf numFmtId="3" fontId="49" fillId="2" borderId="0" xfId="0" applyNumberFormat="1" applyFont="1" applyFill="1"/>
    <xf numFmtId="3" fontId="10" fillId="2" borderId="0" xfId="0" applyNumberFormat="1" applyFont="1" applyFill="1"/>
    <xf numFmtId="10" fontId="11" fillId="2" borderId="0" xfId="1" applyNumberFormat="1" applyFont="1" applyFill="1"/>
    <xf numFmtId="9" fontId="11" fillId="2" borderId="0" xfId="1" applyFont="1" applyFill="1"/>
    <xf numFmtId="2" fontId="10" fillId="2" borderId="0" xfId="0" applyNumberFormat="1" applyFont="1" applyFill="1"/>
    <xf numFmtId="1" fontId="10" fillId="2" borderId="0" xfId="0" applyNumberFormat="1" applyFont="1" applyFill="1"/>
    <xf numFmtId="4" fontId="10" fillId="2" borderId="0" xfId="0" applyNumberFormat="1" applyFont="1" applyFill="1"/>
    <xf numFmtId="0" fontId="50" fillId="2" borderId="0" xfId="0" applyFont="1" applyFill="1"/>
    <xf numFmtId="10" fontId="10" fillId="2" borderId="0" xfId="1" applyNumberFormat="1" applyFont="1" applyFill="1" applyAlignment="1">
      <alignment horizontal="right"/>
    </xf>
    <xf numFmtId="0" fontId="51" fillId="0" borderId="0" xfId="6" applyFont="1"/>
    <xf numFmtId="0" fontId="52" fillId="0" borderId="0" xfId="6" applyFont="1"/>
    <xf numFmtId="0" fontId="51" fillId="0" borderId="2" xfId="6" applyFont="1" applyBorder="1"/>
    <xf numFmtId="0" fontId="34" fillId="0" borderId="2" xfId="4" applyFont="1" applyBorder="1"/>
    <xf numFmtId="0" fontId="32" fillId="0" borderId="3" xfId="4" applyBorder="1"/>
    <xf numFmtId="3" fontId="32" fillId="0" borderId="3" xfId="4" applyNumberFormat="1" applyBorder="1"/>
    <xf numFmtId="3" fontId="32" fillId="5" borderId="0" xfId="4" applyNumberFormat="1" applyFill="1"/>
    <xf numFmtId="3" fontId="35" fillId="0" borderId="0" xfId="4" applyNumberFormat="1" applyFont="1"/>
    <xf numFmtId="171" fontId="35" fillId="0" borderId="0" xfId="5" applyNumberFormat="1" applyFont="1" applyBorder="1"/>
    <xf numFmtId="9" fontId="35" fillId="5" borderId="0" xfId="4" applyNumberFormat="1" applyFont="1" applyFill="1"/>
    <xf numFmtId="0" fontId="32" fillId="0" borderId="2" xfId="4" applyBorder="1"/>
    <xf numFmtId="171" fontId="0" fillId="3" borderId="0" xfId="5" applyNumberFormat="1" applyFont="1" applyFill="1"/>
    <xf numFmtId="0" fontId="32" fillId="3" borderId="0" xfId="4" applyFill="1"/>
    <xf numFmtId="0" fontId="0" fillId="2" borderId="0" xfId="0" applyFill="1"/>
    <xf numFmtId="0" fontId="56" fillId="2" borderId="0" xfId="18" applyFont="1" applyFill="1"/>
    <xf numFmtId="178" fontId="56" fillId="2" borderId="0" xfId="0" applyNumberFormat="1" applyFont="1" applyFill="1"/>
    <xf numFmtId="0" fontId="56" fillId="2" borderId="0" xfId="0" applyFont="1" applyFill="1"/>
    <xf numFmtId="0" fontId="55" fillId="17" borderId="21" xfId="0" applyFont="1" applyFill="1" applyBorder="1"/>
    <xf numFmtId="0" fontId="55" fillId="17" borderId="22" xfId="0" applyFont="1" applyFill="1" applyBorder="1"/>
    <xf numFmtId="0" fontId="55" fillId="17" borderId="23" xfId="0" applyFont="1" applyFill="1" applyBorder="1"/>
    <xf numFmtId="2" fontId="10" fillId="2" borderId="0" xfId="1" applyNumberFormat="1" applyFont="1" applyFill="1"/>
    <xf numFmtId="0" fontId="32" fillId="0" borderId="0" xfId="19"/>
    <xf numFmtId="3" fontId="32" fillId="0" borderId="0" xfId="19" applyNumberFormat="1"/>
    <xf numFmtId="0" fontId="32" fillId="11" borderId="0" xfId="19" applyFill="1"/>
    <xf numFmtId="9" fontId="32" fillId="0" borderId="0" xfId="19" applyNumberFormat="1"/>
    <xf numFmtId="9" fontId="0" fillId="0" borderId="0" xfId="21" applyFont="1"/>
    <xf numFmtId="0" fontId="13" fillId="0" borderId="0" xfId="19" applyFont="1"/>
    <xf numFmtId="3" fontId="32" fillId="11" borderId="0" xfId="19" applyNumberFormat="1" applyFill="1"/>
    <xf numFmtId="0" fontId="35" fillId="17" borderId="12" xfId="19" applyFont="1" applyFill="1" applyBorder="1" applyAlignment="1">
      <alignment horizontal="center"/>
    </xf>
    <xf numFmtId="0" fontId="35" fillId="0" borderId="12" xfId="19" applyFont="1" applyBorder="1" applyAlignment="1">
      <alignment horizontal="center"/>
    </xf>
    <xf numFmtId="0" fontId="32" fillId="3" borderId="0" xfId="19" applyFill="1"/>
    <xf numFmtId="10" fontId="0" fillId="3" borderId="0" xfId="21" applyNumberFormat="1" applyFont="1" applyFill="1"/>
    <xf numFmtId="0" fontId="32" fillId="0" borderId="8" xfId="19" applyBorder="1"/>
    <xf numFmtId="166" fontId="32" fillId="0" borderId="0" xfId="19" applyNumberFormat="1"/>
    <xf numFmtId="0" fontId="35" fillId="0" borderId="12" xfId="19" applyFont="1" applyBorder="1" applyAlignment="1">
      <alignment horizontal="centerContinuous"/>
    </xf>
    <xf numFmtId="14" fontId="32" fillId="0" borderId="0" xfId="19" applyNumberFormat="1"/>
    <xf numFmtId="0" fontId="57" fillId="2" borderId="0" xfId="0" applyFont="1" applyFill="1"/>
    <xf numFmtId="0" fontId="53" fillId="2" borderId="0" xfId="0" applyFont="1" applyFill="1"/>
    <xf numFmtId="0" fontId="54" fillId="2" borderId="0" xfId="0" applyFont="1" applyFill="1"/>
    <xf numFmtId="0" fontId="10" fillId="2" borderId="0" xfId="0" applyFont="1" applyFill="1" applyAlignment="1">
      <alignment horizontal="center" vertical="center" wrapText="1"/>
    </xf>
    <xf numFmtId="0" fontId="59" fillId="2" borderId="0" xfId="0" applyFont="1" applyFill="1"/>
    <xf numFmtId="0" fontId="60" fillId="2" borderId="0" xfId="0" applyFont="1" applyFill="1"/>
    <xf numFmtId="0" fontId="10" fillId="2" borderId="3" xfId="0" applyFont="1" applyFill="1" applyBorder="1"/>
    <xf numFmtId="2" fontId="10" fillId="2" borderId="0" xfId="0" applyNumberFormat="1" applyFont="1" applyFill="1" applyAlignment="1">
      <alignment horizontal="right" vertical="center"/>
    </xf>
    <xf numFmtId="0" fontId="9" fillId="2" borderId="0" xfId="0" applyFont="1" applyFill="1"/>
    <xf numFmtId="4" fontId="0" fillId="2" borderId="0" xfId="0" applyNumberFormat="1" applyFill="1"/>
    <xf numFmtId="3" fontId="0" fillId="2" borderId="0" xfId="0" applyNumberFormat="1" applyFill="1"/>
    <xf numFmtId="2" fontId="0" fillId="2" borderId="0" xfId="0" applyNumberFormat="1" applyFill="1"/>
    <xf numFmtId="171" fontId="0" fillId="2" borderId="0" xfId="1" applyNumberFormat="1" applyFont="1" applyFill="1" applyBorder="1"/>
    <xf numFmtId="0" fontId="10" fillId="2" borderId="0" xfId="0" applyFont="1" applyFill="1" applyAlignment="1">
      <alignment horizontal="left" wrapText="1"/>
    </xf>
    <xf numFmtId="0" fontId="9" fillId="0" borderId="0" xfId="0" applyFont="1"/>
    <xf numFmtId="0" fontId="34" fillId="0" borderId="0" xfId="0" applyFont="1"/>
    <xf numFmtId="171" fontId="0" fillId="0" borderId="0" xfId="1" applyNumberFormat="1" applyFont="1"/>
    <xf numFmtId="171" fontId="0" fillId="0" borderId="0" xfId="0" applyNumberFormat="1"/>
    <xf numFmtId="0" fontId="0" fillId="3" borderId="0" xfId="0" applyFill="1"/>
    <xf numFmtId="0" fontId="0" fillId="3" borderId="3" xfId="0" applyFill="1" applyBorder="1"/>
    <xf numFmtId="171" fontId="0" fillId="0" borderId="3" xfId="1" applyNumberFormat="1" applyFont="1" applyBorder="1"/>
    <xf numFmtId="0" fontId="35" fillId="0" borderId="0" xfId="0" applyFont="1"/>
    <xf numFmtId="171" fontId="35" fillId="0" borderId="0" xfId="1" applyNumberFormat="1" applyFont="1" applyBorder="1"/>
    <xf numFmtId="171" fontId="35" fillId="0" borderId="0" xfId="0" applyNumberFormat="1" applyFont="1"/>
    <xf numFmtId="0" fontId="0" fillId="11" borderId="0" xfId="0" applyFill="1"/>
    <xf numFmtId="171" fontId="0" fillId="0" borderId="0" xfId="1" applyNumberFormat="1" applyFont="1" applyBorder="1"/>
    <xf numFmtId="0" fontId="0" fillId="17" borderId="0" xfId="0" applyFill="1"/>
    <xf numFmtId="0" fontId="28" fillId="0" borderId="0" xfId="0" applyFont="1"/>
    <xf numFmtId="171" fontId="28" fillId="0" borderId="0" xfId="0" applyNumberFormat="1" applyFont="1"/>
    <xf numFmtId="0" fontId="0" fillId="0" borderId="2" xfId="0" applyBorder="1"/>
    <xf numFmtId="3" fontId="0" fillId="0" borderId="2" xfId="0" applyNumberFormat="1" applyBorder="1"/>
    <xf numFmtId="3" fontId="61" fillId="0" borderId="0" xfId="0" applyNumberFormat="1" applyFont="1"/>
    <xf numFmtId="171" fontId="35" fillId="0" borderId="0" xfId="1" applyNumberFormat="1" applyFont="1"/>
    <xf numFmtId="10" fontId="35" fillId="0" borderId="0" xfId="0" applyNumberFormat="1" applyFont="1"/>
    <xf numFmtId="0" fontId="32" fillId="0" borderId="0" xfId="0" applyFont="1"/>
    <xf numFmtId="10" fontId="35" fillId="0" borderId="0" xfId="1" applyNumberFormat="1" applyFont="1"/>
    <xf numFmtId="0" fontId="10" fillId="2" borderId="25" xfId="0" applyFont="1" applyFill="1" applyBorder="1"/>
    <xf numFmtId="0" fontId="62" fillId="2" borderId="0" xfId="0" applyFont="1" applyFill="1"/>
    <xf numFmtId="3" fontId="62" fillId="2" borderId="0" xfId="0" applyNumberFormat="1" applyFont="1" applyFill="1"/>
    <xf numFmtId="0" fontId="49" fillId="0" borderId="0" xfId="0" applyFont="1"/>
    <xf numFmtId="3" fontId="63" fillId="21" borderId="26" xfId="0" applyNumberFormat="1" applyFont="1" applyFill="1" applyBorder="1" applyAlignment="1" applyProtection="1">
      <alignment horizontal="right"/>
      <protection hidden="1"/>
    </xf>
    <xf numFmtId="0" fontId="63" fillId="22" borderId="27" xfId="0" applyFont="1" applyFill="1" applyBorder="1" applyAlignment="1" applyProtection="1">
      <alignment horizontal="right"/>
      <protection hidden="1"/>
    </xf>
    <xf numFmtId="49" fontId="37" fillId="23" borderId="0" xfId="0" applyNumberFormat="1" applyFont="1" applyFill="1" applyAlignment="1">
      <alignment horizontal="left" vertical="center"/>
    </xf>
    <xf numFmtId="0" fontId="38" fillId="23" borderId="0" xfId="0" applyFont="1" applyFill="1"/>
    <xf numFmtId="171" fontId="38" fillId="23" borderId="0" xfId="0" applyNumberFormat="1" applyFont="1" applyFill="1"/>
    <xf numFmtId="49" fontId="38" fillId="23" borderId="0" xfId="0" applyNumberFormat="1" applyFont="1" applyFill="1" applyAlignment="1">
      <alignment horizontal="left" vertical="center"/>
    </xf>
    <xf numFmtId="3" fontId="38" fillId="23" borderId="0" xfId="0" applyNumberFormat="1" applyFont="1" applyFill="1"/>
    <xf numFmtId="3" fontId="64" fillId="23" borderId="0" xfId="0" applyNumberFormat="1" applyFont="1" applyFill="1"/>
    <xf numFmtId="172" fontId="64" fillId="23" borderId="0" xfId="0" applyNumberFormat="1" applyFont="1" applyFill="1"/>
    <xf numFmtId="164" fontId="64" fillId="23" borderId="0" xfId="0" applyNumberFormat="1" applyFont="1" applyFill="1"/>
    <xf numFmtId="171" fontId="64" fillId="23" borderId="0" xfId="0" applyNumberFormat="1" applyFont="1" applyFill="1"/>
    <xf numFmtId="173" fontId="38" fillId="23" borderId="0" xfId="0" applyNumberFormat="1" applyFont="1" applyFill="1"/>
    <xf numFmtId="172" fontId="38" fillId="23" borderId="0" xfId="0" applyNumberFormat="1" applyFont="1" applyFill="1"/>
    <xf numFmtId="164" fontId="38" fillId="23" borderId="0" xfId="0" applyNumberFormat="1" applyFont="1" applyFill="1"/>
    <xf numFmtId="3" fontId="49" fillId="0" borderId="0" xfId="0" applyNumberFormat="1" applyFont="1"/>
    <xf numFmtId="49" fontId="65" fillId="23" borderId="0" xfId="0" applyNumberFormat="1" applyFont="1" applyFill="1" applyAlignment="1">
      <alignment horizontal="left" vertical="center"/>
    </xf>
    <xf numFmtId="3" fontId="66" fillId="23" borderId="0" xfId="0" applyNumberFormat="1" applyFont="1" applyFill="1"/>
    <xf numFmtId="9" fontId="0" fillId="0" borderId="0" xfId="0" applyNumberFormat="1"/>
    <xf numFmtId="3" fontId="41" fillId="25" borderId="19" xfId="8" applyNumberFormat="1" applyFont="1" applyFill="1" applyBorder="1" applyAlignment="1" applyProtection="1">
      <alignment horizontal="right"/>
      <protection hidden="1"/>
    </xf>
    <xf numFmtId="0" fontId="41" fillId="25" borderId="19" xfId="8" applyFont="1" applyFill="1" applyBorder="1" applyAlignment="1" applyProtection="1">
      <alignment horizontal="right"/>
      <protection hidden="1"/>
    </xf>
    <xf numFmtId="0" fontId="41" fillId="26" borderId="19" xfId="8" applyFont="1" applyFill="1" applyBorder="1" applyAlignment="1" applyProtection="1">
      <alignment horizontal="right"/>
      <protection hidden="1"/>
    </xf>
    <xf numFmtId="0" fontId="41" fillId="26" borderId="19" xfId="9" applyFont="1" applyFill="1" applyBorder="1" applyAlignment="1" applyProtection="1">
      <alignment horizontal="right"/>
      <protection hidden="1"/>
    </xf>
    <xf numFmtId="1" fontId="60" fillId="2" borderId="0" xfId="0" applyNumberFormat="1" applyFont="1" applyFill="1"/>
    <xf numFmtId="9" fontId="38" fillId="2" borderId="0" xfId="5" applyFont="1" applyFill="1" applyProtection="1">
      <protection hidden="1"/>
    </xf>
    <xf numFmtId="2" fontId="32" fillId="0" borderId="0" xfId="4" applyNumberFormat="1"/>
    <xf numFmtId="171" fontId="32" fillId="3" borderId="0" xfId="4" applyNumberFormat="1" applyFill="1"/>
    <xf numFmtId="0" fontId="32" fillId="0" borderId="0" xfId="4" applyAlignment="1">
      <alignment horizontal="center"/>
    </xf>
    <xf numFmtId="2" fontId="32" fillId="27" borderId="0" xfId="4" applyNumberFormat="1" applyFill="1"/>
    <xf numFmtId="49" fontId="73" fillId="24" borderId="2" xfId="7" applyNumberFormat="1" applyFont="1" applyFill="1" applyBorder="1" applyAlignment="1">
      <alignment horizontal="center" vertical="center"/>
    </xf>
    <xf numFmtId="3" fontId="71" fillId="24" borderId="2" xfId="8" applyNumberFormat="1" applyFont="1" applyFill="1" applyBorder="1" applyAlignment="1" applyProtection="1">
      <alignment horizontal="right"/>
      <protection hidden="1"/>
    </xf>
    <xf numFmtId="3" fontId="71" fillId="24" borderId="2" xfId="9" applyNumberFormat="1" applyFont="1" applyFill="1" applyBorder="1" applyAlignment="1" applyProtection="1">
      <alignment horizontal="right"/>
      <protection hidden="1"/>
    </xf>
    <xf numFmtId="0" fontId="72" fillId="24" borderId="0" xfId="7" applyFont="1" applyFill="1"/>
    <xf numFmtId="49" fontId="73" fillId="24" borderId="0" xfId="7" applyNumberFormat="1" applyFont="1" applyFill="1" applyAlignment="1">
      <alignment horizontal="left" vertical="center"/>
    </xf>
    <xf numFmtId="49" fontId="73" fillId="24" borderId="0" xfId="7" applyNumberFormat="1" applyFont="1" applyFill="1" applyAlignment="1">
      <alignment horizontal="center" vertical="center"/>
    </xf>
    <xf numFmtId="3" fontId="73" fillId="24" borderId="0" xfId="7" applyNumberFormat="1" applyFont="1" applyFill="1"/>
    <xf numFmtId="3" fontId="73" fillId="24" borderId="0" xfId="11" applyNumberFormat="1" applyFont="1" applyFill="1"/>
    <xf numFmtId="0" fontId="73" fillId="24" borderId="0" xfId="7" applyFont="1" applyFill="1"/>
    <xf numFmtId="167" fontId="72" fillId="24" borderId="0" xfId="7" applyNumberFormat="1" applyFont="1" applyFill="1"/>
    <xf numFmtId="167" fontId="73" fillId="24" borderId="0" xfId="7" applyNumberFormat="1" applyFont="1" applyFill="1"/>
    <xf numFmtId="167" fontId="73" fillId="24" borderId="0" xfId="11" applyNumberFormat="1" applyFont="1" applyFill="1"/>
    <xf numFmtId="167" fontId="72" fillId="24" borderId="0" xfId="11" applyNumberFormat="1" applyFont="1" applyFill="1"/>
    <xf numFmtId="0" fontId="72" fillId="28" borderId="0" xfId="7" applyFont="1" applyFill="1"/>
    <xf numFmtId="167" fontId="73" fillId="28" borderId="0" xfId="7" applyNumberFormat="1" applyFont="1" applyFill="1"/>
    <xf numFmtId="167" fontId="73" fillId="28" borderId="0" xfId="11" applyNumberFormat="1" applyFont="1" applyFill="1"/>
    <xf numFmtId="0" fontId="73" fillId="28" borderId="0" xfId="7" applyFont="1" applyFill="1"/>
    <xf numFmtId="1" fontId="0" fillId="0" borderId="0" xfId="0" applyNumberFormat="1"/>
    <xf numFmtId="173" fontId="73" fillId="24" borderId="0" xfId="7" applyNumberFormat="1" applyFont="1" applyFill="1"/>
    <xf numFmtId="4" fontId="73" fillId="24" borderId="0" xfId="7" applyNumberFormat="1" applyFont="1" applyFill="1"/>
    <xf numFmtId="171" fontId="73" fillId="28" borderId="0" xfId="1" applyNumberFormat="1" applyFont="1" applyFill="1"/>
    <xf numFmtId="3" fontId="73" fillId="24" borderId="1" xfId="7" applyNumberFormat="1" applyFont="1" applyFill="1" applyBorder="1"/>
    <xf numFmtId="173" fontId="73" fillId="24" borderId="1" xfId="7" applyNumberFormat="1" applyFont="1" applyFill="1" applyBorder="1"/>
    <xf numFmtId="173" fontId="0" fillId="2" borderId="0" xfId="0" applyNumberFormat="1" applyFill="1"/>
    <xf numFmtId="173" fontId="73" fillId="24" borderId="0" xfId="7" applyNumberFormat="1" applyFont="1" applyFill="1" applyAlignment="1">
      <alignment horizontal="center"/>
    </xf>
    <xf numFmtId="179" fontId="72" fillId="28" borderId="0" xfId="22" applyNumberFormat="1" applyFont="1" applyFill="1"/>
    <xf numFmtId="179" fontId="73" fillId="28" borderId="0" xfId="22" applyNumberFormat="1" applyFont="1" applyFill="1"/>
    <xf numFmtId="180" fontId="73" fillId="24" borderId="30" xfId="7" applyNumberFormat="1" applyFont="1" applyFill="1" applyBorder="1" applyAlignment="1">
      <alignment horizontal="center"/>
    </xf>
    <xf numFmtId="4" fontId="73" fillId="28" borderId="0" xfId="7" applyNumberFormat="1" applyFont="1" applyFill="1"/>
    <xf numFmtId="4" fontId="73" fillId="28" borderId="0" xfId="11" applyNumberFormat="1" applyFont="1" applyFill="1"/>
    <xf numFmtId="4" fontId="73" fillId="24" borderId="0" xfId="7" applyNumberFormat="1" applyFont="1" applyFill="1" applyAlignment="1">
      <alignment vertical="center"/>
    </xf>
    <xf numFmtId="0" fontId="0" fillId="30" borderId="0" xfId="0" applyFill="1"/>
    <xf numFmtId="0" fontId="9" fillId="2" borderId="0" xfId="0" applyFont="1" applyFill="1" applyAlignment="1">
      <alignment horizontal="center" vertical="center"/>
    </xf>
    <xf numFmtId="0" fontId="76" fillId="30" borderId="0" xfId="0" applyFont="1" applyFill="1"/>
    <xf numFmtId="0" fontId="0" fillId="2" borderId="31" xfId="0" applyFill="1" applyBorder="1"/>
    <xf numFmtId="0" fontId="73" fillId="28" borderId="31" xfId="7" applyFont="1" applyFill="1" applyBorder="1"/>
    <xf numFmtId="49" fontId="73" fillId="24" borderId="31" xfId="7" applyNumberFormat="1" applyFont="1" applyFill="1" applyBorder="1" applyAlignment="1">
      <alignment horizontal="center" vertical="center"/>
    </xf>
    <xf numFmtId="167" fontId="73" fillId="28" borderId="31" xfId="7" applyNumberFormat="1" applyFont="1" applyFill="1" applyBorder="1"/>
    <xf numFmtId="167" fontId="73" fillId="28" borderId="31" xfId="11" applyNumberFormat="1" applyFont="1" applyFill="1" applyBorder="1"/>
    <xf numFmtId="0" fontId="41" fillId="13" borderId="32" xfId="8" applyFont="1" applyFill="1" applyBorder="1" applyAlignment="1" applyProtection="1">
      <alignment horizontal="center"/>
      <protection hidden="1"/>
    </xf>
    <xf numFmtId="9" fontId="73" fillId="24" borderId="0" xfId="1" applyFont="1" applyFill="1" applyAlignment="1">
      <alignment horizontal="right" vertical="center"/>
    </xf>
    <xf numFmtId="9" fontId="73" fillId="24" borderId="0" xfId="1" applyFont="1" applyFill="1" applyAlignment="1">
      <alignment horizontal="right"/>
    </xf>
    <xf numFmtId="4" fontId="73" fillId="24" borderId="0" xfId="7" applyNumberFormat="1" applyFont="1" applyFill="1" applyAlignment="1">
      <alignment horizontal="right" vertical="center"/>
    </xf>
    <xf numFmtId="4" fontId="73" fillId="24" borderId="0" xfId="7" applyNumberFormat="1" applyFont="1" applyFill="1" applyAlignment="1">
      <alignment horizontal="right"/>
    </xf>
    <xf numFmtId="4" fontId="73" fillId="28" borderId="0" xfId="7" applyNumberFormat="1" applyFont="1" applyFill="1" applyAlignment="1">
      <alignment horizontal="center"/>
    </xf>
    <xf numFmtId="180" fontId="73" fillId="28" borderId="0" xfId="7" applyNumberFormat="1" applyFont="1" applyFill="1" applyAlignment="1">
      <alignment horizontal="center"/>
    </xf>
    <xf numFmtId="4" fontId="73" fillId="24" borderId="0" xfId="7" applyNumberFormat="1" applyFont="1" applyFill="1" applyAlignment="1">
      <alignment horizontal="center"/>
    </xf>
    <xf numFmtId="3" fontId="74" fillId="32" borderId="0" xfId="7" applyNumberFormat="1" applyFont="1" applyFill="1" applyAlignment="1">
      <alignment horizontal="center" wrapText="1"/>
    </xf>
    <xf numFmtId="0" fontId="70" fillId="13" borderId="0" xfId="0" applyFont="1" applyFill="1" applyAlignment="1">
      <alignment horizontal="center"/>
    </xf>
    <xf numFmtId="165" fontId="10" fillId="2" borderId="0" xfId="0" applyNumberFormat="1" applyFont="1" applyFill="1" applyAlignment="1">
      <alignment vertical="center"/>
    </xf>
    <xf numFmtId="3" fontId="73" fillId="28" borderId="0" xfId="7" applyNumberFormat="1" applyFont="1" applyFill="1"/>
    <xf numFmtId="3" fontId="41" fillId="2" borderId="0" xfId="8" applyNumberFormat="1" applyFont="1" applyFill="1" applyAlignment="1" applyProtection="1">
      <alignment horizontal="right"/>
      <protection hidden="1"/>
    </xf>
    <xf numFmtId="3" fontId="71" fillId="28" borderId="0" xfId="8" applyNumberFormat="1" applyFont="1" applyFill="1" applyAlignment="1" applyProtection="1">
      <alignment horizontal="right"/>
      <protection hidden="1"/>
    </xf>
    <xf numFmtId="179" fontId="73" fillId="28" borderId="0" xfId="22" applyNumberFormat="1" applyFont="1" applyFill="1" applyBorder="1"/>
    <xf numFmtId="0" fontId="10" fillId="34" borderId="0" xfId="0" applyFont="1" applyFill="1"/>
    <xf numFmtId="0" fontId="10" fillId="34" borderId="1" xfId="0" applyFont="1" applyFill="1" applyBorder="1"/>
    <xf numFmtId="0" fontId="12" fillId="34" borderId="0" xfId="0" applyFont="1" applyFill="1"/>
    <xf numFmtId="0" fontId="10" fillId="34" borderId="0" xfId="0" applyFont="1" applyFill="1" applyAlignment="1">
      <alignment horizontal="left" wrapText="1"/>
    </xf>
    <xf numFmtId="0" fontId="10" fillId="34" borderId="0" xfId="0" applyFont="1" applyFill="1" applyAlignment="1">
      <alignment horizontal="center" vertical="center" wrapText="1"/>
    </xf>
    <xf numFmtId="10" fontId="10" fillId="34" borderId="0" xfId="0" applyNumberFormat="1" applyFont="1" applyFill="1"/>
    <xf numFmtId="0" fontId="10" fillId="34" borderId="0" xfId="0" applyFont="1" applyFill="1" applyAlignment="1">
      <alignment horizontal="right"/>
    </xf>
    <xf numFmtId="10" fontId="10" fillId="34" borderId="0" xfId="1" applyNumberFormat="1" applyFont="1" applyFill="1"/>
    <xf numFmtId="0" fontId="50" fillId="34" borderId="0" xfId="0" applyFont="1" applyFill="1"/>
    <xf numFmtId="0" fontId="59" fillId="34" borderId="0" xfId="0" applyFont="1" applyFill="1"/>
    <xf numFmtId="0" fontId="53" fillId="34" borderId="0" xfId="0" applyFont="1" applyFill="1"/>
    <xf numFmtId="0" fontId="54" fillId="34" borderId="0" xfId="0" applyFont="1" applyFill="1"/>
    <xf numFmtId="0" fontId="57" fillId="34" borderId="0" xfId="0" applyFont="1" applyFill="1"/>
    <xf numFmtId="177" fontId="10" fillId="34" borderId="0" xfId="1" applyNumberFormat="1" applyFont="1" applyFill="1"/>
    <xf numFmtId="0" fontId="49" fillId="34" borderId="0" xfId="0" applyFont="1" applyFill="1"/>
    <xf numFmtId="3" fontId="10" fillId="34" borderId="0" xfId="0" applyNumberFormat="1" applyFont="1" applyFill="1"/>
    <xf numFmtId="3" fontId="49" fillId="34" borderId="0" xfId="0" applyNumberFormat="1" applyFont="1" applyFill="1"/>
    <xf numFmtId="0" fontId="10" fillId="34" borderId="0" xfId="0" applyFont="1" applyFill="1" applyAlignment="1">
      <alignment vertical="center" textRotation="90"/>
    </xf>
    <xf numFmtId="4" fontId="10" fillId="34" borderId="0" xfId="0" applyNumberFormat="1" applyFont="1" applyFill="1"/>
    <xf numFmtId="1" fontId="10" fillId="34" borderId="0" xfId="0" applyNumberFormat="1" applyFont="1" applyFill="1"/>
    <xf numFmtId="2" fontId="10" fillId="34" borderId="0" xfId="0" applyNumberFormat="1" applyFont="1" applyFill="1"/>
    <xf numFmtId="10" fontId="10" fillId="34" borderId="0" xfId="1" applyNumberFormat="1" applyFont="1" applyFill="1" applyAlignment="1">
      <alignment horizontal="right"/>
    </xf>
    <xf numFmtId="10" fontId="11" fillId="34" borderId="0" xfId="1" applyNumberFormat="1" applyFont="1" applyFill="1"/>
    <xf numFmtId="0" fontId="10" fillId="34" borderId="0" xfId="0" applyFont="1" applyFill="1" applyAlignment="1">
      <alignment horizontal="center" vertical="center" textRotation="90"/>
    </xf>
    <xf numFmtId="2" fontId="10" fillId="34" borderId="0" xfId="1" applyNumberFormat="1" applyFont="1" applyFill="1"/>
    <xf numFmtId="0" fontId="10" fillId="34" borderId="3" xfId="0" applyFont="1" applyFill="1" applyBorder="1"/>
    <xf numFmtId="0" fontId="0" fillId="34" borderId="0" xfId="0" applyFill="1"/>
    <xf numFmtId="4" fontId="0" fillId="34" borderId="0" xfId="0" applyNumberFormat="1" applyFill="1"/>
    <xf numFmtId="3" fontId="0" fillId="34" borderId="0" xfId="0" applyNumberFormat="1" applyFill="1"/>
    <xf numFmtId="2" fontId="0" fillId="34" borderId="0" xfId="0" applyNumberFormat="1" applyFill="1"/>
    <xf numFmtId="0" fontId="9" fillId="34" borderId="0" xfId="0" applyFont="1" applyFill="1"/>
    <xf numFmtId="0" fontId="41" fillId="14" borderId="35" xfId="9" applyFont="1" applyFill="1" applyBorder="1" applyAlignment="1" applyProtection="1">
      <alignment horizontal="right"/>
      <protection hidden="1"/>
    </xf>
    <xf numFmtId="3" fontId="38" fillId="28" borderId="0" xfId="11" applyNumberFormat="1" applyFont="1" applyFill="1"/>
    <xf numFmtId="171" fontId="38" fillId="28" borderId="0" xfId="1" applyNumberFormat="1" applyFont="1" applyFill="1" applyBorder="1"/>
    <xf numFmtId="9" fontId="38" fillId="28" borderId="0" xfId="1" applyFont="1" applyFill="1" applyBorder="1"/>
    <xf numFmtId="9" fontId="73" fillId="28" borderId="0" xfId="1" applyFont="1" applyFill="1"/>
    <xf numFmtId="171" fontId="38" fillId="28" borderId="0" xfId="1" applyNumberFormat="1" applyFont="1" applyFill="1"/>
    <xf numFmtId="0" fontId="42" fillId="2" borderId="0" xfId="0" applyFont="1" applyFill="1" applyAlignment="1">
      <alignment horizontal="center"/>
    </xf>
    <xf numFmtId="0" fontId="78" fillId="2" borderId="0" xfId="0" applyFont="1" applyFill="1" applyAlignment="1">
      <alignment horizontal="right"/>
    </xf>
    <xf numFmtId="0" fontId="77" fillId="28" borderId="0" xfId="7" applyFont="1" applyFill="1"/>
    <xf numFmtId="167" fontId="38" fillId="28" borderId="31" xfId="11" applyNumberFormat="1" applyFont="1" applyFill="1" applyBorder="1"/>
    <xf numFmtId="167" fontId="38" fillId="28" borderId="0" xfId="11" applyNumberFormat="1" applyFont="1" applyFill="1"/>
    <xf numFmtId="171" fontId="73" fillId="24" borderId="0" xfId="7" applyNumberFormat="1" applyFont="1" applyFill="1"/>
    <xf numFmtId="171" fontId="38" fillId="24" borderId="0" xfId="11" applyNumberFormat="1" applyFont="1" applyFill="1"/>
    <xf numFmtId="0" fontId="10" fillId="2" borderId="0" xfId="0" applyFont="1" applyFill="1" applyAlignment="1">
      <alignment horizontal="left"/>
    </xf>
    <xf numFmtId="0" fontId="33" fillId="35" borderId="17" xfId="0" applyFont="1" applyFill="1" applyBorder="1"/>
    <xf numFmtId="0" fontId="33" fillId="35" borderId="17" xfId="0" applyFont="1" applyFill="1" applyBorder="1" applyAlignment="1">
      <alignment horizontal="right"/>
    </xf>
    <xf numFmtId="167" fontId="38" fillId="24" borderId="0" xfId="11" applyNumberFormat="1" applyFont="1" applyFill="1"/>
    <xf numFmtId="167" fontId="64" fillId="24" borderId="0" xfId="11" applyNumberFormat="1" applyFont="1" applyFill="1"/>
    <xf numFmtId="171" fontId="73" fillId="28" borderId="0" xfId="7" applyNumberFormat="1" applyFont="1" applyFill="1"/>
    <xf numFmtId="171" fontId="38" fillId="28" borderId="0" xfId="11" applyNumberFormat="1" applyFont="1" applyFill="1"/>
    <xf numFmtId="171" fontId="73" fillId="28" borderId="0" xfId="22" applyNumberFormat="1" applyFont="1" applyFill="1"/>
    <xf numFmtId="43" fontId="10" fillId="2" borderId="0" xfId="22" applyFont="1" applyFill="1" applyAlignment="1">
      <alignment horizontal="right" vertical="center"/>
    </xf>
    <xf numFmtId="49" fontId="73" fillId="28" borderId="0" xfId="7" applyNumberFormat="1" applyFont="1" applyFill="1" applyAlignment="1">
      <alignment horizontal="left" vertical="center"/>
    </xf>
    <xf numFmtId="10" fontId="73" fillId="36" borderId="0" xfId="1" applyNumberFormat="1" applyFont="1" applyFill="1"/>
    <xf numFmtId="181" fontId="10" fillId="2" borderId="0" xfId="0" applyNumberFormat="1" applyFont="1" applyFill="1" applyAlignment="1">
      <alignment horizontal="center" vertical="center" wrapText="1"/>
    </xf>
    <xf numFmtId="182" fontId="73" fillId="28" borderId="0" xfId="7" applyNumberFormat="1" applyFont="1" applyFill="1"/>
    <xf numFmtId="182" fontId="64" fillId="28" borderId="0" xfId="11" applyNumberFormat="1" applyFont="1" applyFill="1"/>
    <xf numFmtId="9" fontId="10" fillId="2" borderId="0" xfId="0" applyNumberFormat="1" applyFont="1" applyFill="1" applyAlignment="1">
      <alignment horizontal="center"/>
    </xf>
    <xf numFmtId="10" fontId="10" fillId="2" borderId="0" xfId="0" applyNumberFormat="1" applyFont="1" applyFill="1" applyAlignment="1">
      <alignment horizontal="center"/>
    </xf>
    <xf numFmtId="0" fontId="11" fillId="2" borderId="0" xfId="1" applyNumberFormat="1" applyFont="1" applyFill="1"/>
    <xf numFmtId="0" fontId="73" fillId="2" borderId="0" xfId="7" applyFont="1" applyFill="1"/>
    <xf numFmtId="171" fontId="10" fillId="2" borderId="0" xfId="0" applyNumberFormat="1" applyFont="1" applyFill="1"/>
    <xf numFmtId="43" fontId="10" fillId="2" borderId="0" xfId="22" applyFont="1" applyFill="1" applyAlignment="1">
      <alignment vertical="center"/>
    </xf>
    <xf numFmtId="10" fontId="10" fillId="2" borderId="0" xfId="1" applyNumberFormat="1" applyFont="1" applyFill="1" applyBorder="1" applyAlignment="1">
      <alignment horizontal="right" wrapText="1"/>
    </xf>
    <xf numFmtId="10" fontId="10" fillId="2" borderId="0" xfId="1" applyNumberFormat="1" applyFont="1" applyFill="1" applyAlignment="1">
      <alignment horizontal="right" wrapText="1"/>
    </xf>
    <xf numFmtId="0" fontId="91" fillId="28" borderId="0" xfId="7" applyFont="1" applyFill="1" applyAlignment="1">
      <alignment horizontal="center"/>
    </xf>
    <xf numFmtId="9" fontId="73" fillId="28" borderId="0" xfId="1" applyFont="1" applyFill="1" applyAlignment="1">
      <alignment horizontal="right"/>
    </xf>
    <xf numFmtId="4" fontId="73" fillId="28" borderId="0" xfId="7" applyNumberFormat="1" applyFont="1" applyFill="1" applyAlignment="1">
      <alignment horizontal="right"/>
    </xf>
    <xf numFmtId="4" fontId="92" fillId="28" borderId="0" xfId="7" applyNumberFormat="1" applyFont="1" applyFill="1"/>
    <xf numFmtId="0" fontId="92" fillId="28" borderId="0" xfId="7" applyFont="1" applyFill="1"/>
    <xf numFmtId="171" fontId="0" fillId="0" borderId="0" xfId="1" applyNumberFormat="1" applyFont="1" applyFill="1"/>
    <xf numFmtId="3" fontId="0" fillId="11" borderId="3" xfId="0" applyNumberFormat="1" applyFill="1" applyBorder="1"/>
    <xf numFmtId="3" fontId="41" fillId="2" borderId="19" xfId="9" applyNumberFormat="1" applyFont="1" applyFill="1" applyBorder="1" applyAlignment="1" applyProtection="1">
      <alignment horizontal="right"/>
      <protection hidden="1"/>
    </xf>
    <xf numFmtId="3" fontId="41" fillId="2" borderId="35" xfId="8" applyNumberFormat="1" applyFont="1" applyFill="1" applyBorder="1" applyAlignment="1" applyProtection="1">
      <alignment horizontal="right"/>
      <protection hidden="1"/>
    </xf>
    <xf numFmtId="0" fontId="73" fillId="24" borderId="0" xfId="7" applyFont="1" applyFill="1" applyAlignment="1">
      <alignment horizontal="center" vertical="center"/>
    </xf>
    <xf numFmtId="4" fontId="71" fillId="24" borderId="0" xfId="7" applyNumberFormat="1" applyFont="1" applyFill="1" applyAlignment="1">
      <alignment horizontal="center"/>
    </xf>
    <xf numFmtId="9" fontId="73" fillId="24" borderId="0" xfId="1" applyFont="1" applyFill="1" applyAlignment="1">
      <alignment horizontal="center"/>
    </xf>
    <xf numFmtId="3" fontId="71" fillId="37" borderId="2" xfId="7" applyNumberFormat="1" applyFont="1" applyFill="1" applyBorder="1"/>
    <xf numFmtId="178" fontId="0" fillId="2" borderId="0" xfId="0" applyNumberFormat="1" applyFill="1"/>
    <xf numFmtId="3" fontId="73" fillId="24" borderId="0" xfId="7" applyNumberFormat="1" applyFont="1" applyFill="1" applyAlignment="1">
      <alignment vertical="center"/>
    </xf>
    <xf numFmtId="0" fontId="42" fillId="2" borderId="0" xfId="0" applyFont="1" applyFill="1"/>
    <xf numFmtId="3" fontId="74" fillId="32" borderId="0" xfId="7" applyNumberFormat="1" applyFont="1" applyFill="1" applyAlignment="1">
      <alignment horizontal="center" vertical="center" wrapText="1"/>
    </xf>
    <xf numFmtId="9" fontId="42" fillId="2" borderId="0" xfId="1" applyFont="1" applyFill="1"/>
    <xf numFmtId="0" fontId="42" fillId="2" borderId="0" xfId="0" quotePrefix="1" applyFont="1" applyFill="1" applyAlignment="1">
      <alignment horizontal="right" vertical="center"/>
    </xf>
    <xf numFmtId="9" fontId="42" fillId="2" borderId="0" xfId="1" applyFont="1" applyFill="1" applyAlignment="1">
      <alignment horizontal="center" vertical="center"/>
    </xf>
    <xf numFmtId="9" fontId="10" fillId="34" borderId="0" xfId="0" applyNumberFormat="1" applyFont="1" applyFill="1"/>
    <xf numFmtId="44" fontId="42" fillId="0" borderId="0" xfId="23" applyFont="1"/>
    <xf numFmtId="3" fontId="60" fillId="39" borderId="0" xfId="0" applyNumberFormat="1" applyFont="1" applyFill="1"/>
    <xf numFmtId="3" fontId="38" fillId="38" borderId="0" xfId="0" applyNumberFormat="1" applyFont="1" applyFill="1"/>
    <xf numFmtId="3" fontId="68" fillId="38" borderId="0" xfId="0" applyNumberFormat="1" applyFont="1" applyFill="1"/>
    <xf numFmtId="3" fontId="79" fillId="38" borderId="0" xfId="0" applyNumberFormat="1" applyFont="1" applyFill="1" applyAlignment="1" applyProtection="1">
      <alignment horizontal="left" indent="1"/>
      <protection hidden="1"/>
    </xf>
    <xf numFmtId="3" fontId="79" fillId="38" borderId="0" xfId="0" applyNumberFormat="1" applyFont="1" applyFill="1" applyProtection="1">
      <protection hidden="1"/>
    </xf>
    <xf numFmtId="3" fontId="80" fillId="39" borderId="0" xfId="0" applyNumberFormat="1" applyFont="1" applyFill="1"/>
    <xf numFmtId="3" fontId="81" fillId="39" borderId="0" xfId="0" applyNumberFormat="1" applyFont="1" applyFill="1"/>
    <xf numFmtId="3" fontId="80" fillId="38" borderId="0" xfId="0" applyNumberFormat="1" applyFont="1" applyFill="1"/>
    <xf numFmtId="3" fontId="69" fillId="39" borderId="0" xfId="0" applyNumberFormat="1" applyFont="1" applyFill="1"/>
    <xf numFmtId="3" fontId="85" fillId="38" borderId="0" xfId="0" applyNumberFormat="1" applyFont="1" applyFill="1" applyAlignment="1" applyProtection="1">
      <alignment horizontal="left" indent="1"/>
      <protection hidden="1"/>
    </xf>
    <xf numFmtId="3" fontId="82" fillId="38" borderId="0" xfId="0" applyNumberFormat="1" applyFont="1" applyFill="1" applyProtection="1">
      <protection hidden="1"/>
    </xf>
    <xf numFmtId="3" fontId="49" fillId="39" borderId="0" xfId="0" applyNumberFormat="1" applyFont="1" applyFill="1"/>
    <xf numFmtId="3" fontId="86" fillId="39" borderId="0" xfId="0" applyNumberFormat="1" applyFont="1" applyFill="1"/>
    <xf numFmtId="3" fontId="87" fillId="38" borderId="0" xfId="0" applyNumberFormat="1" applyFont="1" applyFill="1"/>
    <xf numFmtId="3" fontId="33" fillId="40" borderId="17" xfId="0" applyNumberFormat="1" applyFont="1" applyFill="1" applyBorder="1" applyAlignment="1">
      <alignment horizontal="right"/>
    </xf>
    <xf numFmtId="3" fontId="95" fillId="38" borderId="0" xfId="0" applyNumberFormat="1" applyFont="1" applyFill="1" applyProtection="1">
      <protection hidden="1"/>
    </xf>
    <xf numFmtId="3" fontId="96" fillId="38" borderId="20" xfId="0" applyNumberFormat="1" applyFont="1" applyFill="1" applyBorder="1" applyProtection="1">
      <protection hidden="1"/>
    </xf>
    <xf numFmtId="3" fontId="96" fillId="38" borderId="2" xfId="0" applyNumberFormat="1" applyFont="1" applyFill="1" applyBorder="1" applyProtection="1">
      <protection hidden="1"/>
    </xf>
    <xf numFmtId="3" fontId="96" fillId="38" borderId="13" xfId="0" applyNumberFormat="1" applyFont="1" applyFill="1" applyBorder="1" applyProtection="1">
      <protection hidden="1"/>
    </xf>
    <xf numFmtId="3" fontId="97" fillId="38" borderId="0" xfId="0" applyNumberFormat="1" applyFont="1" applyFill="1" applyAlignment="1" applyProtection="1">
      <alignment horizontal="left" indent="1"/>
      <protection hidden="1"/>
    </xf>
    <xf numFmtId="3" fontId="96" fillId="38" borderId="0" xfId="0" applyNumberFormat="1" applyFont="1" applyFill="1" applyProtection="1">
      <protection hidden="1"/>
    </xf>
    <xf numFmtId="0" fontId="33" fillId="41" borderId="17" xfId="0" applyFont="1" applyFill="1" applyBorder="1"/>
    <xf numFmtId="0" fontId="0" fillId="39" borderId="0" xfId="0" applyFill="1"/>
    <xf numFmtId="185" fontId="60" fillId="39" borderId="0" xfId="0" applyNumberFormat="1" applyFont="1" applyFill="1"/>
    <xf numFmtId="0" fontId="33" fillId="41" borderId="36" xfId="0" applyFont="1" applyFill="1" applyBorder="1"/>
    <xf numFmtId="3" fontId="33" fillId="40" borderId="36" xfId="0" applyNumberFormat="1" applyFont="1" applyFill="1" applyBorder="1" applyAlignment="1">
      <alignment horizontal="right"/>
    </xf>
    <xf numFmtId="3" fontId="33" fillId="40" borderId="37" xfId="0" applyNumberFormat="1" applyFont="1" applyFill="1" applyBorder="1" applyAlignment="1">
      <alignment horizontal="right"/>
    </xf>
    <xf numFmtId="185" fontId="60" fillId="39" borderId="9" xfId="0" applyNumberFormat="1" applyFont="1" applyFill="1" applyBorder="1"/>
    <xf numFmtId="185" fontId="60" fillId="39" borderId="10" xfId="0" applyNumberFormat="1" applyFont="1" applyFill="1" applyBorder="1"/>
    <xf numFmtId="185" fontId="67" fillId="39" borderId="7" xfId="0" applyNumberFormat="1" applyFont="1" applyFill="1" applyBorder="1"/>
    <xf numFmtId="185" fontId="67" fillId="39" borderId="8" xfId="0" applyNumberFormat="1" applyFont="1" applyFill="1" applyBorder="1"/>
    <xf numFmtId="185" fontId="67" fillId="39" borderId="11" xfId="0" applyNumberFormat="1" applyFont="1" applyFill="1" applyBorder="1"/>
    <xf numFmtId="185" fontId="80" fillId="38" borderId="0" xfId="0" applyNumberFormat="1" applyFont="1" applyFill="1"/>
    <xf numFmtId="185" fontId="79" fillId="39" borderId="0" xfId="0" applyNumberFormat="1" applyFont="1" applyFill="1"/>
    <xf numFmtId="185" fontId="80" fillId="38" borderId="0" xfId="0" applyNumberFormat="1" applyFont="1" applyFill="1" applyAlignment="1">
      <alignment horizontal="right"/>
    </xf>
    <xf numFmtId="185" fontId="83" fillId="38" borderId="20" xfId="0" applyNumberFormat="1" applyFont="1" applyFill="1" applyBorder="1" applyProtection="1">
      <protection hidden="1"/>
    </xf>
    <xf numFmtId="185" fontId="96" fillId="38" borderId="20" xfId="0" applyNumberFormat="1" applyFont="1" applyFill="1" applyBorder="1" applyProtection="1">
      <protection hidden="1"/>
    </xf>
    <xf numFmtId="185" fontId="80" fillId="39" borderId="0" xfId="0" applyNumberFormat="1" applyFont="1" applyFill="1"/>
    <xf numFmtId="185" fontId="81" fillId="39" borderId="0" xfId="0" applyNumberFormat="1" applyFont="1" applyFill="1"/>
    <xf numFmtId="185" fontId="69" fillId="39" borderId="0" xfId="0" applyNumberFormat="1" applyFont="1" applyFill="1"/>
    <xf numFmtId="185" fontId="93" fillId="39" borderId="0" xfId="0" applyNumberFormat="1" applyFont="1" applyFill="1"/>
    <xf numFmtId="185" fontId="80" fillId="38" borderId="0" xfId="0" applyNumberFormat="1" applyFont="1" applyFill="1" applyAlignment="1">
      <alignment horizontal="center" vertical="center"/>
    </xf>
    <xf numFmtId="171" fontId="80" fillId="39" borderId="0" xfId="1" applyNumberFormat="1" applyFont="1" applyFill="1"/>
    <xf numFmtId="171" fontId="100" fillId="39" borderId="0" xfId="1" applyNumberFormat="1" applyFont="1" applyFill="1"/>
    <xf numFmtId="185" fontId="98" fillId="39" borderId="0" xfId="0" applyNumberFormat="1" applyFont="1" applyFill="1"/>
    <xf numFmtId="3" fontId="63" fillId="38" borderId="0" xfId="0" applyNumberFormat="1" applyFont="1" applyFill="1" applyAlignment="1" applyProtection="1">
      <alignment horizontal="left"/>
      <protection hidden="1"/>
    </xf>
    <xf numFmtId="0" fontId="33" fillId="41" borderId="0" xfId="0" applyFont="1" applyFill="1"/>
    <xf numFmtId="0" fontId="60" fillId="39" borderId="0" xfId="0" applyFont="1" applyFill="1"/>
    <xf numFmtId="0" fontId="60" fillId="39" borderId="1" xfId="0" applyFont="1" applyFill="1" applyBorder="1"/>
    <xf numFmtId="0" fontId="60" fillId="39" borderId="4" xfId="0" applyFont="1" applyFill="1" applyBorder="1"/>
    <xf numFmtId="0" fontId="67" fillId="39" borderId="0" xfId="0" applyFont="1" applyFill="1"/>
    <xf numFmtId="3" fontId="73" fillId="38" borderId="0" xfId="7" applyNumberFormat="1" applyFont="1" applyFill="1"/>
    <xf numFmtId="4" fontId="73" fillId="38" borderId="0" xfId="7" applyNumberFormat="1" applyFont="1" applyFill="1"/>
    <xf numFmtId="3" fontId="74" fillId="38" borderId="0" xfId="7" applyNumberFormat="1" applyFont="1" applyFill="1" applyAlignment="1">
      <alignment horizontal="center" wrapText="1"/>
    </xf>
    <xf numFmtId="4" fontId="73" fillId="38" borderId="0" xfId="7" applyNumberFormat="1" applyFont="1" applyFill="1" applyAlignment="1">
      <alignment vertical="center"/>
    </xf>
    <xf numFmtId="3" fontId="73" fillId="38" borderId="0" xfId="7" applyNumberFormat="1" applyFont="1" applyFill="1" applyAlignment="1">
      <alignment vertical="center"/>
    </xf>
    <xf numFmtId="0" fontId="42" fillId="39" borderId="0" xfId="0" applyFont="1" applyFill="1" applyAlignment="1">
      <alignment horizontal="center"/>
    </xf>
    <xf numFmtId="9" fontId="42" fillId="39" borderId="0" xfId="1" applyFont="1" applyFill="1"/>
    <xf numFmtId="0" fontId="42" fillId="39" borderId="0" xfId="0" applyFont="1" applyFill="1"/>
    <xf numFmtId="3" fontId="74" fillId="38" borderId="0" xfId="7" applyNumberFormat="1" applyFont="1" applyFill="1" applyAlignment="1">
      <alignment horizontal="center" vertical="center" wrapText="1"/>
    </xf>
    <xf numFmtId="3" fontId="33" fillId="40" borderId="0" xfId="0" applyNumberFormat="1" applyFont="1" applyFill="1" applyAlignment="1">
      <alignment horizontal="right"/>
    </xf>
    <xf numFmtId="0" fontId="9" fillId="39" borderId="0" xfId="0" applyFont="1" applyFill="1"/>
    <xf numFmtId="3" fontId="71" fillId="38" borderId="0" xfId="7" applyNumberFormat="1" applyFont="1" applyFill="1"/>
    <xf numFmtId="3" fontId="102" fillId="38" borderId="0" xfId="7" applyNumberFormat="1" applyFont="1" applyFill="1"/>
    <xf numFmtId="3" fontId="106" fillId="38" borderId="0" xfId="7" applyNumberFormat="1" applyFont="1" applyFill="1"/>
    <xf numFmtId="186" fontId="104" fillId="38" borderId="1" xfId="7" applyNumberFormat="1" applyFont="1" applyFill="1" applyBorder="1"/>
    <xf numFmtId="186" fontId="104" fillId="38" borderId="0" xfId="7" applyNumberFormat="1" applyFont="1" applyFill="1"/>
    <xf numFmtId="186" fontId="105" fillId="42" borderId="34" xfId="7" applyNumberFormat="1" applyFont="1" applyFill="1" applyBorder="1" applyAlignment="1">
      <alignment vertical="center"/>
    </xf>
    <xf numFmtId="186" fontId="105" fillId="42" borderId="13" xfId="7" applyNumberFormat="1" applyFont="1" applyFill="1" applyBorder="1" applyAlignment="1">
      <alignment vertical="center"/>
    </xf>
    <xf numFmtId="3" fontId="33" fillId="40" borderId="10" xfId="0" applyNumberFormat="1" applyFont="1" applyFill="1" applyBorder="1" applyAlignment="1">
      <alignment horizontal="right"/>
    </xf>
    <xf numFmtId="186" fontId="105" fillId="42" borderId="9" xfId="7" applyNumberFormat="1" applyFont="1" applyFill="1" applyBorder="1" applyAlignment="1">
      <alignment vertical="center"/>
    </xf>
    <xf numFmtId="186" fontId="105" fillId="42" borderId="0" xfId="7" applyNumberFormat="1" applyFont="1" applyFill="1" applyAlignment="1">
      <alignment vertical="center"/>
    </xf>
    <xf numFmtId="186" fontId="105" fillId="42" borderId="10" xfId="7" applyNumberFormat="1" applyFont="1" applyFill="1" applyBorder="1" applyAlignment="1">
      <alignment vertical="center"/>
    </xf>
    <xf numFmtId="186" fontId="104" fillId="38" borderId="9" xfId="7" applyNumberFormat="1" applyFont="1" applyFill="1" applyBorder="1"/>
    <xf numFmtId="186" fontId="103" fillId="39" borderId="0" xfId="0" applyNumberFormat="1" applyFont="1" applyFill="1"/>
    <xf numFmtId="186" fontId="104" fillId="38" borderId="10" xfId="7" applyNumberFormat="1" applyFont="1" applyFill="1" applyBorder="1"/>
    <xf numFmtId="186" fontId="104" fillId="38" borderId="38" xfId="7" applyNumberFormat="1" applyFont="1" applyFill="1" applyBorder="1"/>
    <xf numFmtId="186" fontId="104" fillId="38" borderId="39" xfId="7" applyNumberFormat="1" applyFont="1" applyFill="1" applyBorder="1"/>
    <xf numFmtId="186" fontId="103" fillId="39" borderId="10" xfId="0" applyNumberFormat="1" applyFont="1" applyFill="1" applyBorder="1"/>
    <xf numFmtId="186" fontId="104" fillId="38" borderId="0" xfId="7" applyNumberFormat="1" applyFont="1" applyFill="1" applyAlignment="1">
      <alignment vertical="center"/>
    </xf>
    <xf numFmtId="186" fontId="104" fillId="38" borderId="10" xfId="7" applyNumberFormat="1" applyFont="1" applyFill="1" applyBorder="1" applyAlignment="1">
      <alignment vertical="center"/>
    </xf>
    <xf numFmtId="186" fontId="105" fillId="42" borderId="40" xfId="7" applyNumberFormat="1" applyFont="1" applyFill="1" applyBorder="1" applyAlignment="1">
      <alignment vertical="center"/>
    </xf>
    <xf numFmtId="186" fontId="105" fillId="42" borderId="41" xfId="7" applyNumberFormat="1" applyFont="1" applyFill="1" applyBorder="1" applyAlignment="1">
      <alignment vertical="center"/>
    </xf>
    <xf numFmtId="186" fontId="105" fillId="42" borderId="42" xfId="7" applyNumberFormat="1" applyFont="1" applyFill="1" applyBorder="1" applyAlignment="1">
      <alignment vertical="center"/>
    </xf>
    <xf numFmtId="186" fontId="105" fillId="42" borderId="43" xfId="7" applyNumberFormat="1" applyFont="1" applyFill="1" applyBorder="1" applyAlignment="1">
      <alignment vertical="center"/>
    </xf>
    <xf numFmtId="186" fontId="0" fillId="39" borderId="0" xfId="0" applyNumberFormat="1" applyFill="1"/>
    <xf numFmtId="186" fontId="0" fillId="39" borderId="10" xfId="0" applyNumberFormat="1" applyFill="1" applyBorder="1"/>
    <xf numFmtId="186" fontId="105" fillId="38" borderId="44" xfId="7" applyNumberFormat="1" applyFont="1" applyFill="1" applyBorder="1"/>
    <xf numFmtId="186" fontId="104" fillId="38" borderId="2" xfId="7" applyNumberFormat="1" applyFont="1" applyFill="1" applyBorder="1" applyAlignment="1">
      <alignment vertical="center"/>
    </xf>
    <xf numFmtId="186" fontId="104" fillId="38" borderId="45" xfId="7" applyNumberFormat="1" applyFont="1" applyFill="1" applyBorder="1" applyAlignment="1">
      <alignment vertical="center"/>
    </xf>
    <xf numFmtId="186" fontId="104" fillId="38" borderId="8" xfId="7" applyNumberFormat="1" applyFont="1" applyFill="1" applyBorder="1" applyAlignment="1">
      <alignment vertical="center"/>
    </xf>
    <xf numFmtId="186" fontId="104" fillId="38" borderId="11" xfId="7" applyNumberFormat="1" applyFont="1" applyFill="1" applyBorder="1" applyAlignment="1">
      <alignment vertical="center"/>
    </xf>
    <xf numFmtId="2" fontId="42" fillId="4" borderId="0" xfId="12" applyNumberFormat="1" applyFont="1" applyFill="1"/>
    <xf numFmtId="4" fontId="42" fillId="2" borderId="0" xfId="7" applyNumberFormat="1" applyFont="1" applyFill="1"/>
    <xf numFmtId="2" fontId="42" fillId="2" borderId="0" xfId="7" applyNumberFormat="1" applyFont="1" applyFill="1"/>
    <xf numFmtId="39" fontId="107" fillId="0" borderId="0" xfId="26" applyNumberFormat="1" applyFont="1"/>
    <xf numFmtId="37" fontId="107" fillId="0" borderId="0" xfId="26" applyNumberFormat="1" applyFont="1"/>
    <xf numFmtId="3" fontId="96" fillId="38" borderId="47" xfId="0" applyNumberFormat="1" applyFont="1" applyFill="1" applyBorder="1" applyProtection="1">
      <protection hidden="1"/>
    </xf>
    <xf numFmtId="185" fontId="80" fillId="38" borderId="48" xfId="0" applyNumberFormat="1" applyFont="1" applyFill="1" applyBorder="1" applyAlignment="1">
      <alignment horizontal="right"/>
    </xf>
    <xf numFmtId="3" fontId="96" fillId="38" borderId="1" xfId="0" applyNumberFormat="1" applyFont="1" applyFill="1" applyBorder="1" applyProtection="1">
      <protection hidden="1"/>
    </xf>
    <xf numFmtId="185" fontId="108" fillId="38" borderId="0" xfId="0" applyNumberFormat="1" applyFont="1" applyFill="1" applyAlignment="1">
      <alignment horizontal="right"/>
    </xf>
    <xf numFmtId="3" fontId="96" fillId="38" borderId="49" xfId="0" applyNumberFormat="1" applyFont="1" applyFill="1" applyBorder="1" applyProtection="1">
      <protection hidden="1"/>
    </xf>
    <xf numFmtId="185" fontId="83" fillId="38" borderId="1" xfId="0" applyNumberFormat="1" applyFont="1" applyFill="1" applyBorder="1" applyAlignment="1">
      <alignment horizontal="right"/>
    </xf>
    <xf numFmtId="185" fontId="83" fillId="38" borderId="50" xfId="0" applyNumberFormat="1" applyFont="1" applyFill="1" applyBorder="1" applyAlignment="1">
      <alignment horizontal="right"/>
    </xf>
    <xf numFmtId="185" fontId="80" fillId="38" borderId="50" xfId="0" applyNumberFormat="1" applyFont="1" applyFill="1" applyBorder="1" applyAlignment="1">
      <alignment horizontal="right"/>
    </xf>
    <xf numFmtId="0" fontId="60" fillId="43" borderId="0" xfId="0" applyFont="1" applyFill="1"/>
    <xf numFmtId="186" fontId="109" fillId="44" borderId="0" xfId="7" applyNumberFormat="1" applyFont="1" applyFill="1" applyAlignment="1">
      <alignment horizontal="right" vertical="center"/>
    </xf>
    <xf numFmtId="186" fontId="105" fillId="42" borderId="18" xfId="7" applyNumberFormat="1" applyFont="1" applyFill="1" applyBorder="1" applyAlignment="1">
      <alignment vertical="center"/>
    </xf>
    <xf numFmtId="185" fontId="79" fillId="39" borderId="18" xfId="0" applyNumberFormat="1" applyFont="1" applyFill="1" applyBorder="1"/>
    <xf numFmtId="186" fontId="105" fillId="42" borderId="53" xfId="7" applyNumberFormat="1" applyFont="1" applyFill="1" applyBorder="1" applyAlignment="1">
      <alignment vertical="center"/>
    </xf>
    <xf numFmtId="185" fontId="79" fillId="39" borderId="53" xfId="0" applyNumberFormat="1" applyFont="1" applyFill="1" applyBorder="1"/>
    <xf numFmtId="0" fontId="10" fillId="39" borderId="0" xfId="0" applyFont="1" applyFill="1"/>
    <xf numFmtId="0" fontId="95" fillId="39" borderId="0" xfId="0" applyFont="1" applyFill="1" applyAlignment="1">
      <alignment horizontal="right"/>
    </xf>
    <xf numFmtId="185" fontId="96" fillId="39" borderId="53" xfId="0" applyNumberFormat="1" applyFont="1" applyFill="1" applyBorder="1"/>
    <xf numFmtId="185" fontId="96" fillId="39" borderId="0" xfId="0" applyNumberFormat="1" applyFont="1" applyFill="1"/>
    <xf numFmtId="185" fontId="96" fillId="39" borderId="18" xfId="0" applyNumberFormat="1" applyFont="1" applyFill="1" applyBorder="1"/>
    <xf numFmtId="0" fontId="112" fillId="39" borderId="0" xfId="0" applyFont="1" applyFill="1" applyAlignment="1">
      <alignment horizontal="right"/>
    </xf>
    <xf numFmtId="185" fontId="113" fillId="39" borderId="18" xfId="0" applyNumberFormat="1" applyFont="1" applyFill="1" applyBorder="1"/>
    <xf numFmtId="0" fontId="95" fillId="39" borderId="0" xfId="0" applyFont="1" applyFill="1"/>
    <xf numFmtId="0" fontId="54" fillId="45" borderId="0" xfId="0" applyFont="1" applyFill="1"/>
    <xf numFmtId="0" fontId="33" fillId="40" borderId="0" xfId="0" applyFont="1" applyFill="1"/>
    <xf numFmtId="0" fontId="104" fillId="38" borderId="0" xfId="1" applyNumberFormat="1" applyFont="1" applyFill="1" applyBorder="1"/>
    <xf numFmtId="9" fontId="115" fillId="0" borderId="0" xfId="33" applyFont="1"/>
    <xf numFmtId="188" fontId="107" fillId="0" borderId="0" xfId="33" applyNumberFormat="1" applyFont="1"/>
    <xf numFmtId="188" fontId="107" fillId="17" borderId="0" xfId="33" applyNumberFormat="1" applyFont="1" applyFill="1"/>
    <xf numFmtId="0" fontId="0" fillId="2" borderId="0" xfId="0" applyFill="1" applyAlignment="1">
      <alignment horizontal="right"/>
    </xf>
    <xf numFmtId="0" fontId="0" fillId="2" borderId="0" xfId="0" applyFill="1" applyAlignment="1">
      <alignment horizontal="center"/>
    </xf>
    <xf numFmtId="185" fontId="110" fillId="38" borderId="48" xfId="0" applyNumberFormat="1" applyFont="1" applyFill="1" applyBorder="1" applyAlignment="1">
      <alignment horizontal="right"/>
    </xf>
    <xf numFmtId="185" fontId="110" fillId="38" borderId="50" xfId="0" applyNumberFormat="1" applyFont="1" applyFill="1" applyBorder="1" applyAlignment="1">
      <alignment horizontal="right"/>
    </xf>
    <xf numFmtId="0" fontId="10" fillId="30" borderId="0" xfId="0" applyFont="1" applyFill="1"/>
    <xf numFmtId="185" fontId="79" fillId="30" borderId="53" xfId="0" applyNumberFormat="1" applyFont="1" applyFill="1" applyBorder="1"/>
    <xf numFmtId="185" fontId="79" fillId="30" borderId="0" xfId="0" applyNumberFormat="1" applyFont="1" applyFill="1"/>
    <xf numFmtId="185" fontId="79" fillId="30" borderId="18" xfId="0" applyNumberFormat="1" applyFont="1" applyFill="1" applyBorder="1"/>
    <xf numFmtId="0" fontId="60" fillId="30" borderId="0" xfId="0" applyFont="1" applyFill="1"/>
    <xf numFmtId="0" fontId="95" fillId="30" borderId="0" xfId="0" applyFont="1" applyFill="1" applyAlignment="1">
      <alignment horizontal="right"/>
    </xf>
    <xf numFmtId="185" fontId="96" fillId="30" borderId="53" xfId="0" applyNumberFormat="1" applyFont="1" applyFill="1" applyBorder="1"/>
    <xf numFmtId="185" fontId="96" fillId="30" borderId="0" xfId="0" applyNumberFormat="1" applyFont="1" applyFill="1"/>
    <xf numFmtId="185" fontId="96" fillId="30" borderId="18" xfId="0" applyNumberFormat="1" applyFont="1" applyFill="1" applyBorder="1"/>
    <xf numFmtId="0" fontId="5" fillId="0" borderId="0" xfId="34"/>
    <xf numFmtId="0" fontId="34" fillId="0" borderId="0" xfId="34" applyFont="1"/>
    <xf numFmtId="0" fontId="35" fillId="0" borderId="0" xfId="34" applyFont="1"/>
    <xf numFmtId="0" fontId="34" fillId="0" borderId="0" xfId="34" applyFont="1" applyAlignment="1">
      <alignment horizontal="center"/>
    </xf>
    <xf numFmtId="37" fontId="5" fillId="0" borderId="0" xfId="34" applyNumberFormat="1"/>
    <xf numFmtId="3" fontId="5" fillId="0" borderId="0" xfId="34" applyNumberFormat="1"/>
    <xf numFmtId="37" fontId="5" fillId="3" borderId="0" xfId="34" applyNumberFormat="1" applyFill="1"/>
    <xf numFmtId="37" fontId="5" fillId="11" borderId="0" xfId="34" applyNumberFormat="1" applyFill="1"/>
    <xf numFmtId="0" fontId="5" fillId="11" borderId="0" xfId="34" applyFill="1"/>
    <xf numFmtId="0" fontId="5" fillId="30" borderId="0" xfId="34" applyFill="1"/>
    <xf numFmtId="0" fontId="5" fillId="0" borderId="3" xfId="34" applyBorder="1"/>
    <xf numFmtId="37" fontId="5" fillId="0" borderId="3" xfId="34" applyNumberFormat="1" applyBorder="1"/>
    <xf numFmtId="3" fontId="5" fillId="0" borderId="3" xfId="34" applyNumberFormat="1" applyBorder="1"/>
    <xf numFmtId="9" fontId="5" fillId="0" borderId="0" xfId="34" applyNumberFormat="1"/>
    <xf numFmtId="3" fontId="35" fillId="0" borderId="0" xfId="34" applyNumberFormat="1" applyFont="1"/>
    <xf numFmtId="9" fontId="35" fillId="0" borderId="0" xfId="34" applyNumberFormat="1" applyFont="1"/>
    <xf numFmtId="171" fontId="35" fillId="0" borderId="0" xfId="35" applyNumberFormat="1" applyFont="1"/>
    <xf numFmtId="0" fontId="5" fillId="0" borderId="0" xfId="34" applyAlignment="1">
      <alignment horizontal="center"/>
    </xf>
    <xf numFmtId="10" fontId="5" fillId="0" borderId="0" xfId="34" applyNumberFormat="1"/>
    <xf numFmtId="0" fontId="5" fillId="17" borderId="0" xfId="34" applyFill="1"/>
    <xf numFmtId="3" fontId="5" fillId="30" borderId="0" xfId="34" applyNumberFormat="1" applyFill="1"/>
    <xf numFmtId="37" fontId="35" fillId="0" borderId="0" xfId="34" applyNumberFormat="1" applyFont="1"/>
    <xf numFmtId="0" fontId="78" fillId="0" borderId="0" xfId="34" applyFont="1"/>
    <xf numFmtId="37" fontId="5" fillId="30" borderId="0" xfId="34" applyNumberFormat="1" applyFill="1"/>
    <xf numFmtId="39" fontId="5" fillId="0" borderId="0" xfId="34" applyNumberFormat="1"/>
    <xf numFmtId="187" fontId="5" fillId="0" borderId="0" xfId="34" applyNumberFormat="1"/>
    <xf numFmtId="4" fontId="116" fillId="0" borderId="0" xfId="34" applyNumberFormat="1" applyFont="1" applyAlignment="1">
      <alignment horizontal="right" vertical="center"/>
    </xf>
    <xf numFmtId="9" fontId="0" fillId="0" borderId="0" xfId="35" applyFont="1"/>
    <xf numFmtId="9" fontId="34" fillId="0" borderId="0" xfId="34" applyNumberFormat="1" applyFont="1" applyAlignment="1">
      <alignment horizontal="center"/>
    </xf>
    <xf numFmtId="2" fontId="5" fillId="0" borderId="0" xfId="34" applyNumberFormat="1"/>
    <xf numFmtId="0" fontId="5" fillId="0" borderId="0" xfId="34" applyAlignment="1">
      <alignment horizontal="center" wrapText="1"/>
    </xf>
    <xf numFmtId="0" fontId="5" fillId="11" borderId="3" xfId="34" applyFill="1" applyBorder="1"/>
    <xf numFmtId="0" fontId="5" fillId="17" borderId="3" xfId="34" applyFill="1" applyBorder="1"/>
    <xf numFmtId="0" fontId="5" fillId="5" borderId="0" xfId="34" applyFill="1"/>
    <xf numFmtId="15" fontId="34" fillId="0" borderId="0" xfId="34" applyNumberFormat="1" applyFont="1" applyAlignment="1">
      <alignment horizontal="center"/>
    </xf>
    <xf numFmtId="0" fontId="5" fillId="0" borderId="0" xfId="34" applyAlignment="1">
      <alignment horizontal="left"/>
    </xf>
    <xf numFmtId="185" fontId="79" fillId="11" borderId="0" xfId="0" applyNumberFormat="1" applyFont="1" applyFill="1"/>
    <xf numFmtId="4" fontId="0" fillId="2" borderId="0" xfId="1" applyNumberFormat="1" applyFont="1" applyFill="1"/>
    <xf numFmtId="185" fontId="96" fillId="38" borderId="50" xfId="0" applyNumberFormat="1" applyFont="1" applyFill="1" applyBorder="1" applyAlignment="1">
      <alignment horizontal="right"/>
    </xf>
    <xf numFmtId="4" fontId="60" fillId="39" borderId="0" xfId="0" applyNumberFormat="1" applyFont="1" applyFill="1"/>
    <xf numFmtId="10" fontId="42" fillId="2" borderId="0" xfId="59" applyNumberFormat="1" applyFont="1" applyFill="1"/>
    <xf numFmtId="9" fontId="38" fillId="2" borderId="0" xfId="39" applyNumberFormat="1" applyFont="1" applyFill="1"/>
    <xf numFmtId="175" fontId="4" fillId="2" borderId="0" xfId="40" applyNumberFormat="1" applyFill="1"/>
    <xf numFmtId="38" fontId="38" fillId="2" borderId="0" xfId="22" applyNumberFormat="1" applyFont="1" applyFill="1"/>
    <xf numFmtId="0" fontId="118" fillId="2" borderId="0" xfId="0" applyFont="1" applyFill="1"/>
    <xf numFmtId="0" fontId="42" fillId="2" borderId="0" xfId="40" applyFont="1" applyFill="1"/>
    <xf numFmtId="0" fontId="42" fillId="5" borderId="0" xfId="0" applyFont="1" applyFill="1" applyAlignment="1">
      <alignment horizontal="center"/>
    </xf>
    <xf numFmtId="2" fontId="4" fillId="2" borderId="0" xfId="40" applyNumberFormat="1" applyFill="1"/>
    <xf numFmtId="0" fontId="42" fillId="5" borderId="0" xfId="0" applyFont="1" applyFill="1"/>
    <xf numFmtId="0" fontId="4" fillId="2" borderId="0" xfId="40" applyFill="1"/>
    <xf numFmtId="0" fontId="42" fillId="4" borderId="0" xfId="0" applyFont="1" applyFill="1" applyAlignment="1">
      <alignment horizontal="center"/>
    </xf>
    <xf numFmtId="0" fontId="38" fillId="3" borderId="0" xfId="7" applyFont="1" applyFill="1"/>
    <xf numFmtId="38" fontId="0" fillId="2" borderId="0" xfId="0" applyNumberFormat="1" applyFill="1"/>
    <xf numFmtId="9" fontId="42" fillId="2" borderId="0" xfId="1" applyFont="1" applyFill="1" applyAlignment="1">
      <alignment horizontal="center"/>
    </xf>
    <xf numFmtId="0" fontId="38" fillId="2" borderId="0" xfId="39" applyFont="1" applyFill="1"/>
    <xf numFmtId="0" fontId="38" fillId="2" borderId="0" xfId="40" applyFont="1" applyFill="1" applyAlignment="1" applyProtection="1">
      <alignment horizontal="center"/>
      <protection hidden="1"/>
    </xf>
    <xf numFmtId="0" fontId="38" fillId="2" borderId="0" xfId="40" applyFont="1" applyFill="1" applyProtection="1">
      <protection hidden="1"/>
    </xf>
    <xf numFmtId="0" fontId="38" fillId="2" borderId="0" xfId="40" applyFont="1" applyFill="1" applyAlignment="1" applyProtection="1">
      <alignment horizontal="left" indent="1"/>
      <protection hidden="1"/>
    </xf>
    <xf numFmtId="3" fontId="38" fillId="2" borderId="0" xfId="40" applyNumberFormat="1" applyFont="1" applyFill="1" applyProtection="1">
      <protection hidden="1"/>
    </xf>
    <xf numFmtId="0" fontId="37" fillId="2" borderId="20" xfId="40" applyFont="1" applyFill="1" applyBorder="1" applyProtection="1">
      <protection hidden="1"/>
    </xf>
    <xf numFmtId="3" fontId="38" fillId="2" borderId="0" xfId="39" applyNumberFormat="1" applyFont="1" applyFill="1"/>
    <xf numFmtId="0" fontId="38" fillId="2" borderId="0" xfId="39" applyFont="1" applyFill="1" applyAlignment="1">
      <alignment horizontal="left" indent="1"/>
    </xf>
    <xf numFmtId="175" fontId="46" fillId="2" borderId="0" xfId="40" applyNumberFormat="1" applyFont="1" applyFill="1" applyAlignment="1">
      <alignment vertical="center"/>
    </xf>
    <xf numFmtId="0" fontId="4" fillId="2" borderId="0" xfId="40" quotePrefix="1" applyFill="1" applyAlignment="1">
      <alignment horizontal="center"/>
    </xf>
    <xf numFmtId="10" fontId="34" fillId="16" borderId="0" xfId="1" applyNumberFormat="1" applyFont="1" applyFill="1"/>
    <xf numFmtId="0" fontId="3" fillId="2" borderId="0" xfId="40" applyFont="1" applyFill="1"/>
    <xf numFmtId="3" fontId="4" fillId="2" borderId="0" xfId="40" applyNumberFormat="1" applyFill="1"/>
    <xf numFmtId="1" fontId="4" fillId="2" borderId="0" xfId="40" applyNumberFormat="1" applyFill="1"/>
    <xf numFmtId="10" fontId="3" fillId="0" borderId="0" xfId="63" applyNumberFormat="1" applyAlignment="1">
      <alignment horizontal="right"/>
    </xf>
    <xf numFmtId="0" fontId="3" fillId="0" borderId="0" xfId="34" applyFont="1"/>
    <xf numFmtId="0" fontId="37" fillId="2" borderId="20" xfId="40" applyFont="1" applyFill="1" applyBorder="1" applyAlignment="1" applyProtection="1">
      <alignment horizontal="right"/>
      <protection hidden="1"/>
    </xf>
    <xf numFmtId="0" fontId="38" fillId="2" borderId="0" xfId="40" applyFont="1" applyFill="1" applyAlignment="1" applyProtection="1">
      <alignment horizontal="right"/>
      <protection hidden="1"/>
    </xf>
    <xf numFmtId="0" fontId="37" fillId="2" borderId="20" xfId="40" applyFont="1" applyFill="1" applyBorder="1" applyAlignment="1" applyProtection="1">
      <alignment horizontal="left"/>
      <protection hidden="1"/>
    </xf>
    <xf numFmtId="0" fontId="120" fillId="46" borderId="0" xfId="40" applyFont="1" applyFill="1" applyAlignment="1">
      <alignment horizontal="center"/>
    </xf>
    <xf numFmtId="10" fontId="4" fillId="2" borderId="0" xfId="40" applyNumberFormat="1" applyFill="1"/>
    <xf numFmtId="3" fontId="38" fillId="2" borderId="0" xfId="39" applyNumberFormat="1" applyFont="1" applyFill="1" applyAlignment="1">
      <alignment horizontal="right"/>
    </xf>
    <xf numFmtId="0" fontId="28" fillId="2" borderId="0" xfId="0" applyFont="1" applyFill="1" applyAlignment="1">
      <alignment horizontal="centerContinuous"/>
    </xf>
    <xf numFmtId="0" fontId="28" fillId="2" borderId="0" xfId="0" applyFont="1" applyFill="1" applyAlignment="1">
      <alignment horizontal="center"/>
    </xf>
    <xf numFmtId="10" fontId="3" fillId="0" borderId="0" xfId="63" applyNumberFormat="1"/>
    <xf numFmtId="10" fontId="3" fillId="0" borderId="3" xfId="63" applyNumberFormat="1" applyBorder="1"/>
    <xf numFmtId="0" fontId="28" fillId="2" borderId="12" xfId="0" applyFont="1" applyFill="1" applyBorder="1" applyAlignment="1">
      <alignment horizontal="center"/>
    </xf>
    <xf numFmtId="0" fontId="0" fillId="2" borderId="8" xfId="0" applyFill="1" applyBorder="1"/>
    <xf numFmtId="0" fontId="3" fillId="0" borderId="0" xfId="27" applyFont="1"/>
    <xf numFmtId="2" fontId="42" fillId="2" borderId="0" xfId="40" applyNumberFormat="1" applyFont="1" applyFill="1"/>
    <xf numFmtId="10" fontId="42" fillId="2" borderId="0" xfId="40" applyNumberFormat="1" applyFont="1" applyFill="1"/>
    <xf numFmtId="0" fontId="120" fillId="3" borderId="0" xfId="0" applyFont="1" applyFill="1" applyAlignment="1">
      <alignment horizontal="center"/>
    </xf>
    <xf numFmtId="10" fontId="120" fillId="3" borderId="0" xfId="0" applyNumberFormat="1" applyFont="1" applyFill="1" applyAlignment="1">
      <alignment horizontal="center"/>
    </xf>
    <xf numFmtId="0" fontId="120" fillId="11" borderId="0" xfId="0" applyFont="1" applyFill="1" applyAlignment="1">
      <alignment horizontal="center"/>
    </xf>
    <xf numFmtId="10" fontId="120" fillId="11" borderId="0" xfId="0" applyNumberFormat="1" applyFont="1" applyFill="1" applyAlignment="1">
      <alignment horizontal="center"/>
    </xf>
    <xf numFmtId="10" fontId="42" fillId="11" borderId="0" xfId="40" applyNumberFormat="1" applyFont="1" applyFill="1"/>
    <xf numFmtId="0" fontId="120" fillId="17" borderId="0" xfId="0" applyFont="1" applyFill="1" applyAlignment="1">
      <alignment horizontal="center"/>
    </xf>
    <xf numFmtId="4" fontId="120" fillId="17" borderId="0" xfId="0" applyNumberFormat="1" applyFont="1" applyFill="1" applyAlignment="1">
      <alignment horizontal="center"/>
    </xf>
    <xf numFmtId="0" fontId="120" fillId="47" borderId="0" xfId="40" applyFont="1" applyFill="1" applyAlignment="1">
      <alignment horizontal="center"/>
    </xf>
    <xf numFmtId="185" fontId="79" fillId="6" borderId="0" xfId="0" applyNumberFormat="1" applyFont="1" applyFill="1"/>
    <xf numFmtId="0" fontId="34" fillId="47" borderId="0" xfId="40" applyFont="1" applyFill="1" applyAlignment="1">
      <alignment horizontal="center"/>
    </xf>
    <xf numFmtId="10" fontId="34" fillId="47" borderId="0" xfId="40" applyNumberFormat="1" applyFont="1" applyFill="1" applyAlignment="1">
      <alignment horizontal="center"/>
    </xf>
    <xf numFmtId="1" fontId="121" fillId="2" borderId="0" xfId="40" applyNumberFormat="1" applyFont="1" applyFill="1"/>
    <xf numFmtId="0" fontId="42" fillId="2" borderId="0" xfId="40" applyFont="1" applyFill="1" applyAlignment="1">
      <alignment horizontal="right"/>
    </xf>
    <xf numFmtId="0" fontId="42" fillId="2" borderId="0" xfId="0" applyFont="1" applyFill="1" applyAlignment="1">
      <alignment horizontal="right"/>
    </xf>
    <xf numFmtId="1" fontId="42" fillId="2" borderId="0" xfId="40" applyNumberFormat="1" applyFont="1" applyFill="1" applyAlignment="1">
      <alignment horizontal="right"/>
    </xf>
    <xf numFmtId="1" fontId="121" fillId="2" borderId="0" xfId="22" applyNumberFormat="1" applyFont="1" applyFill="1"/>
    <xf numFmtId="1" fontId="122" fillId="2" borderId="0" xfId="40" applyNumberFormat="1" applyFont="1" applyFill="1"/>
    <xf numFmtId="179" fontId="122" fillId="2" borderId="0" xfId="22" applyNumberFormat="1" applyFont="1" applyFill="1"/>
    <xf numFmtId="9" fontId="60" fillId="39" borderId="0" xfId="1" applyFont="1" applyFill="1"/>
    <xf numFmtId="3" fontId="5" fillId="11" borderId="3" xfId="34" applyNumberFormat="1" applyFill="1" applyBorder="1"/>
    <xf numFmtId="0" fontId="5" fillId="0" borderId="54" xfId="34" applyBorder="1"/>
    <xf numFmtId="3" fontId="5" fillId="48" borderId="0" xfId="34" applyNumberFormat="1" applyFill="1"/>
    <xf numFmtId="185" fontId="96" fillId="38" borderId="0" xfId="0" applyNumberFormat="1" applyFont="1" applyFill="1"/>
    <xf numFmtId="0" fontId="117" fillId="45" borderId="0" xfId="0" applyFont="1" applyFill="1"/>
    <xf numFmtId="185" fontId="117" fillId="45" borderId="0" xfId="0" applyNumberFormat="1" applyFont="1" applyFill="1"/>
    <xf numFmtId="0" fontId="123" fillId="39" borderId="0" xfId="0" applyFont="1" applyFill="1"/>
    <xf numFmtId="0" fontId="95" fillId="45" borderId="0" xfId="0" applyFont="1" applyFill="1"/>
    <xf numFmtId="185" fontId="96" fillId="45" borderId="0" xfId="0" applyNumberFormat="1" applyFont="1" applyFill="1"/>
    <xf numFmtId="10" fontId="42" fillId="2" borderId="0" xfId="1" applyNumberFormat="1" applyFont="1" applyFill="1"/>
    <xf numFmtId="2" fontId="34" fillId="16" borderId="0" xfId="40" applyNumberFormat="1" applyFont="1" applyFill="1"/>
    <xf numFmtId="0" fontId="120" fillId="30" borderId="0" xfId="0" applyFont="1" applyFill="1" applyAlignment="1">
      <alignment horizontal="center"/>
    </xf>
    <xf numFmtId="10" fontId="120" fillId="30" borderId="0" xfId="0" applyNumberFormat="1" applyFont="1" applyFill="1" applyAlignment="1">
      <alignment horizontal="center"/>
    </xf>
    <xf numFmtId="169" fontId="5" fillId="0" borderId="0" xfId="34" applyNumberFormat="1"/>
    <xf numFmtId="0" fontId="65" fillId="2" borderId="0" xfId="40" applyFont="1" applyFill="1"/>
    <xf numFmtId="0" fontId="124" fillId="0" borderId="0" xfId="40" applyFont="1" applyAlignment="1">
      <alignment horizontal="center"/>
    </xf>
    <xf numFmtId="9" fontId="80" fillId="38" borderId="0" xfId="0" applyNumberFormat="1" applyFont="1" applyFill="1" applyAlignment="1">
      <alignment horizontal="right"/>
    </xf>
    <xf numFmtId="0" fontId="124" fillId="2" borderId="0" xfId="40" applyFont="1" applyFill="1"/>
    <xf numFmtId="4" fontId="34" fillId="5" borderId="0" xfId="40" applyNumberFormat="1" applyFont="1" applyFill="1"/>
    <xf numFmtId="0" fontId="34" fillId="5" borderId="0" xfId="40" applyFont="1" applyFill="1" applyAlignment="1">
      <alignment horizontal="center"/>
    </xf>
    <xf numFmtId="4" fontId="34" fillId="5" borderId="0" xfId="40" applyNumberFormat="1" applyFont="1" applyFill="1" applyAlignment="1">
      <alignment horizontal="center"/>
    </xf>
    <xf numFmtId="3" fontId="10" fillId="39" borderId="0" xfId="0" applyNumberFormat="1" applyFont="1" applyFill="1"/>
    <xf numFmtId="3" fontId="125" fillId="39" borderId="0" xfId="0" applyNumberFormat="1" applyFont="1" applyFill="1"/>
    <xf numFmtId="3" fontId="10" fillId="39" borderId="3" xfId="0" applyNumberFormat="1" applyFont="1" applyFill="1" applyBorder="1"/>
    <xf numFmtId="3" fontId="10" fillId="39" borderId="13" xfId="0" applyNumberFormat="1" applyFont="1" applyFill="1" applyBorder="1"/>
    <xf numFmtId="0" fontId="80" fillId="39" borderId="0" xfId="0" applyFont="1" applyFill="1"/>
    <xf numFmtId="0" fontId="81" fillId="39" borderId="0" xfId="0" applyFont="1" applyFill="1"/>
    <xf numFmtId="185" fontId="100" fillId="38" borderId="0" xfId="0" applyNumberFormat="1" applyFont="1" applyFill="1" applyAlignment="1">
      <alignment horizontal="right"/>
    </xf>
    <xf numFmtId="3" fontId="100" fillId="39" borderId="0" xfId="0" applyNumberFormat="1" applyFont="1" applyFill="1"/>
    <xf numFmtId="3" fontId="80" fillId="39" borderId="3" xfId="0" applyNumberFormat="1" applyFont="1" applyFill="1" applyBorder="1"/>
    <xf numFmtId="3" fontId="96" fillId="39" borderId="3" xfId="0" applyNumberFormat="1" applyFont="1" applyFill="1" applyBorder="1"/>
    <xf numFmtId="3" fontId="80" fillId="39" borderId="13" xfId="0" applyNumberFormat="1" applyFont="1" applyFill="1" applyBorder="1"/>
    <xf numFmtId="3" fontId="100" fillId="39" borderId="13" xfId="0" applyNumberFormat="1" applyFont="1" applyFill="1" applyBorder="1"/>
    <xf numFmtId="3" fontId="100" fillId="39" borderId="3" xfId="0" applyNumberFormat="1" applyFont="1" applyFill="1" applyBorder="1"/>
    <xf numFmtId="177" fontId="80" fillId="39" borderId="0" xfId="1" applyNumberFormat="1" applyFont="1" applyFill="1"/>
    <xf numFmtId="3" fontId="80" fillId="39" borderId="2" xfId="0" applyNumberFormat="1" applyFont="1" applyFill="1" applyBorder="1"/>
    <xf numFmtId="3" fontId="81" fillId="39" borderId="2" xfId="0" applyNumberFormat="1" applyFont="1" applyFill="1" applyBorder="1"/>
    <xf numFmtId="3" fontId="100" fillId="39" borderId="2" xfId="0" applyNumberFormat="1" applyFont="1" applyFill="1" applyBorder="1"/>
    <xf numFmtId="0" fontId="5" fillId="43" borderId="0" xfId="34" applyFill="1"/>
    <xf numFmtId="0" fontId="35" fillId="43" borderId="0" xfId="34" applyFont="1" applyFill="1"/>
    <xf numFmtId="0" fontId="5" fillId="5" borderId="3" xfId="34" applyFill="1" applyBorder="1"/>
    <xf numFmtId="37" fontId="5" fillId="5" borderId="3" xfId="34" applyNumberFormat="1" applyFill="1" applyBorder="1"/>
    <xf numFmtId="0" fontId="35" fillId="43" borderId="3" xfId="34" applyFont="1" applyFill="1" applyBorder="1"/>
    <xf numFmtId="0" fontId="35" fillId="0" borderId="3" xfId="34" applyFont="1" applyBorder="1"/>
    <xf numFmtId="37" fontId="107" fillId="0" borderId="3" xfId="26" applyNumberFormat="1" applyFont="1" applyBorder="1"/>
    <xf numFmtId="175" fontId="46" fillId="43" borderId="0" xfId="8" applyNumberFormat="1" applyFont="1" applyFill="1" applyAlignment="1">
      <alignment vertical="center"/>
    </xf>
    <xf numFmtId="175" fontId="35" fillId="0" borderId="0" xfId="34" applyNumberFormat="1" applyFont="1"/>
    <xf numFmtId="37" fontId="115" fillId="0" borderId="3" xfId="33" applyNumberFormat="1" applyFont="1" applyBorder="1"/>
    <xf numFmtId="37" fontId="35" fillId="3" borderId="0" xfId="34" applyNumberFormat="1" applyFont="1" applyFill="1"/>
    <xf numFmtId="37" fontId="107" fillId="11" borderId="0" xfId="26" applyNumberFormat="1" applyFont="1" applyFill="1"/>
    <xf numFmtId="3" fontId="10" fillId="20" borderId="0" xfId="0" applyNumberFormat="1" applyFont="1" applyFill="1"/>
    <xf numFmtId="0" fontId="56" fillId="39" borderId="0" xfId="0" applyFont="1" applyFill="1"/>
    <xf numFmtId="185" fontId="100" fillId="38" borderId="0" xfId="0" applyNumberFormat="1" applyFont="1" applyFill="1"/>
    <xf numFmtId="0" fontId="126" fillId="39" borderId="0" xfId="0" applyFont="1" applyFill="1"/>
    <xf numFmtId="185" fontId="83" fillId="38" borderId="0" xfId="0" applyNumberFormat="1" applyFont="1" applyFill="1"/>
    <xf numFmtId="167" fontId="60" fillId="2" borderId="0" xfId="0" applyNumberFormat="1" applyFont="1" applyFill="1"/>
    <xf numFmtId="3" fontId="5" fillId="48" borderId="54" xfId="34" applyNumberFormat="1" applyFill="1" applyBorder="1"/>
    <xf numFmtId="3" fontId="5" fillId="43" borderId="3" xfId="34" applyNumberFormat="1" applyFill="1" applyBorder="1"/>
    <xf numFmtId="0" fontId="60" fillId="2" borderId="0" xfId="0" applyFont="1" applyFill="1" applyAlignment="1">
      <alignment horizontal="center"/>
    </xf>
    <xf numFmtId="3" fontId="81" fillId="45" borderId="0" xfId="0" applyNumberFormat="1" applyFont="1" applyFill="1"/>
    <xf numFmtId="3" fontId="60" fillId="45" borderId="0" xfId="0" applyNumberFormat="1" applyFont="1" applyFill="1"/>
    <xf numFmtId="0" fontId="4" fillId="5" borderId="0" xfId="40" applyFill="1"/>
    <xf numFmtId="185" fontId="79" fillId="45" borderId="0" xfId="0" applyNumberFormat="1" applyFont="1" applyFill="1"/>
    <xf numFmtId="1" fontId="42" fillId="2" borderId="0" xfId="40" applyNumberFormat="1" applyFont="1" applyFill="1"/>
    <xf numFmtId="171" fontId="42" fillId="2" borderId="0" xfId="1" applyNumberFormat="1" applyFont="1" applyFill="1"/>
    <xf numFmtId="171" fontId="42" fillId="2" borderId="0" xfId="40" applyNumberFormat="1" applyFont="1" applyFill="1"/>
    <xf numFmtId="185" fontId="126" fillId="39" borderId="0" xfId="0" applyNumberFormat="1" applyFont="1" applyFill="1"/>
    <xf numFmtId="37" fontId="107" fillId="0" borderId="3" xfId="33" applyNumberFormat="1" applyFont="1" applyFill="1" applyBorder="1"/>
    <xf numFmtId="3" fontId="5" fillId="11" borderId="0" xfId="34" applyNumberFormat="1" applyFill="1"/>
    <xf numFmtId="3" fontId="5" fillId="3" borderId="0" xfId="34" applyNumberFormat="1" applyFill="1"/>
    <xf numFmtId="37" fontId="5" fillId="49" borderId="0" xfId="34" applyNumberFormat="1" applyFill="1"/>
    <xf numFmtId="3" fontId="5" fillId="17" borderId="0" xfId="34" applyNumberFormat="1" applyFill="1"/>
    <xf numFmtId="4" fontId="4" fillId="2" borderId="0" xfId="40" applyNumberFormat="1" applyFill="1"/>
    <xf numFmtId="167" fontId="34" fillId="17" borderId="0" xfId="34" applyNumberFormat="1" applyFont="1" applyFill="1"/>
    <xf numFmtId="10" fontId="0" fillId="0" borderId="0" xfId="0" applyNumberFormat="1"/>
    <xf numFmtId="185" fontId="56" fillId="39" borderId="0" xfId="0" applyNumberFormat="1" applyFont="1" applyFill="1"/>
    <xf numFmtId="0" fontId="33" fillId="6" borderId="0" xfId="0" applyFont="1" applyFill="1" applyAlignment="1">
      <alignment horizontal="right"/>
    </xf>
    <xf numFmtId="171" fontId="56" fillId="39" borderId="0" xfId="1" applyNumberFormat="1" applyFont="1" applyFill="1"/>
    <xf numFmtId="0" fontId="127" fillId="0" borderId="0" xfId="0" applyFont="1"/>
    <xf numFmtId="189" fontId="100" fillId="38" borderId="0" xfId="0" applyNumberFormat="1" applyFont="1" applyFill="1"/>
    <xf numFmtId="191" fontId="56" fillId="39" borderId="0" xfId="0" applyNumberFormat="1" applyFont="1" applyFill="1"/>
    <xf numFmtId="192" fontId="79" fillId="39" borderId="0" xfId="0" applyNumberFormat="1" applyFont="1" applyFill="1"/>
    <xf numFmtId="185" fontId="96" fillId="50" borderId="0" xfId="0" applyNumberFormat="1" applyFont="1" applyFill="1"/>
    <xf numFmtId="9" fontId="56" fillId="39" borderId="0" xfId="1" applyFont="1" applyFill="1"/>
    <xf numFmtId="10" fontId="56" fillId="39" borderId="0" xfId="1" applyNumberFormat="1" applyFont="1" applyFill="1"/>
    <xf numFmtId="9" fontId="56" fillId="39" borderId="0" xfId="0" applyNumberFormat="1" applyFont="1" applyFill="1"/>
    <xf numFmtId="10" fontId="80" fillId="38" borderId="0" xfId="1" applyNumberFormat="1" applyFont="1" applyFill="1"/>
    <xf numFmtId="177" fontId="56" fillId="39" borderId="0" xfId="0" applyNumberFormat="1" applyFont="1" applyFill="1"/>
    <xf numFmtId="10" fontId="96" fillId="37" borderId="0" xfId="1" applyNumberFormat="1" applyFont="1" applyFill="1"/>
    <xf numFmtId="3" fontId="128" fillId="30" borderId="0" xfId="0" applyNumberFormat="1" applyFont="1" applyFill="1"/>
    <xf numFmtId="3" fontId="100" fillId="39" borderId="0" xfId="0" applyNumberFormat="1" applyFont="1" applyFill="1" applyAlignment="1">
      <alignment horizontal="center" vertical="center"/>
    </xf>
    <xf numFmtId="3" fontId="127" fillId="0" borderId="0" xfId="0" applyNumberFormat="1" applyFont="1"/>
    <xf numFmtId="3" fontId="5" fillId="5" borderId="0" xfId="34" applyNumberFormat="1" applyFill="1"/>
    <xf numFmtId="37" fontId="115" fillId="0" borderId="0" xfId="33" applyNumberFormat="1" applyFont="1" applyFill="1"/>
    <xf numFmtId="37" fontId="107" fillId="0" borderId="0" xfId="33" applyNumberFormat="1" applyFont="1" applyFill="1" applyBorder="1"/>
    <xf numFmtId="183" fontId="81" fillId="39" borderId="0" xfId="1" applyNumberFormat="1" applyFont="1" applyFill="1"/>
    <xf numFmtId="1" fontId="35" fillId="0" borderId="0" xfId="34" applyNumberFormat="1" applyFont="1"/>
    <xf numFmtId="1" fontId="5" fillId="0" borderId="0" xfId="34" applyNumberFormat="1"/>
    <xf numFmtId="1" fontId="2" fillId="0" borderId="0" xfId="34" applyNumberFormat="1" applyFont="1"/>
    <xf numFmtId="3" fontId="2" fillId="0" borderId="0" xfId="34" applyNumberFormat="1" applyFont="1"/>
    <xf numFmtId="177" fontId="56" fillId="11" borderId="0" xfId="0" applyNumberFormat="1" applyFont="1" applyFill="1"/>
    <xf numFmtId="177" fontId="80" fillId="38" borderId="0" xfId="1" applyNumberFormat="1" applyFont="1" applyFill="1"/>
    <xf numFmtId="1" fontId="56" fillId="39" borderId="0" xfId="0" applyNumberFormat="1" applyFont="1" applyFill="1"/>
    <xf numFmtId="171" fontId="2" fillId="0" borderId="0" xfId="1" applyNumberFormat="1" applyFont="1" applyFill="1"/>
    <xf numFmtId="0" fontId="2" fillId="0" borderId="0" xfId="0" applyFont="1"/>
    <xf numFmtId="171" fontId="2" fillId="0" borderId="0" xfId="1" applyNumberFormat="1" applyFont="1"/>
    <xf numFmtId="0" fontId="2" fillId="0" borderId="0" xfId="34" applyFont="1"/>
    <xf numFmtId="3" fontId="2" fillId="48" borderId="0" xfId="34" applyNumberFormat="1" applyFont="1" applyFill="1"/>
    <xf numFmtId="0" fontId="2" fillId="17" borderId="0" xfId="34" applyFont="1" applyFill="1"/>
    <xf numFmtId="0" fontId="2" fillId="3" borderId="0" xfId="34" applyFont="1" applyFill="1" applyAlignment="1">
      <alignment horizontal="left"/>
    </xf>
    <xf numFmtId="37" fontId="2" fillId="11" borderId="0" xfId="34" applyNumberFormat="1" applyFont="1" applyFill="1"/>
    <xf numFmtId="3" fontId="2" fillId="11" borderId="0" xfId="34" applyNumberFormat="1" applyFont="1" applyFill="1"/>
    <xf numFmtId="9" fontId="2" fillId="0" borderId="0" xfId="34" applyNumberFormat="1" applyFont="1"/>
    <xf numFmtId="10" fontId="2" fillId="0" borderId="0" xfId="1" applyNumberFormat="1" applyFont="1" applyBorder="1"/>
    <xf numFmtId="10" fontId="2" fillId="0" borderId="0" xfId="1" applyNumberFormat="1" applyFont="1"/>
    <xf numFmtId="0" fontId="2" fillId="0" borderId="3" xfId="34" applyFont="1" applyBorder="1"/>
    <xf numFmtId="3" fontId="2" fillId="0" borderId="0" xfId="27" applyNumberFormat="1" applyFont="1"/>
    <xf numFmtId="0" fontId="2" fillId="0" borderId="0" xfId="27" applyFont="1" applyAlignment="1">
      <alignment horizontal="center"/>
    </xf>
    <xf numFmtId="0" fontId="2" fillId="0" borderId="0" xfId="27" applyFont="1"/>
    <xf numFmtId="0" fontId="2" fillId="0" borderId="3" xfId="27" applyFont="1" applyBorder="1"/>
    <xf numFmtId="3" fontId="2" fillId="0" borderId="3" xfId="27" applyNumberFormat="1" applyFont="1" applyBorder="1"/>
    <xf numFmtId="171" fontId="2" fillId="17" borderId="0" xfId="1" applyNumberFormat="1" applyFont="1" applyFill="1"/>
    <xf numFmtId="10" fontId="2" fillId="3" borderId="0" xfId="1" applyNumberFormat="1" applyFont="1" applyFill="1"/>
    <xf numFmtId="37" fontId="2" fillId="0" borderId="0" xfId="34" applyNumberFormat="1" applyFont="1"/>
    <xf numFmtId="37" fontId="2" fillId="0" borderId="3" xfId="34" applyNumberFormat="1" applyFont="1" applyBorder="1"/>
    <xf numFmtId="9" fontId="2" fillId="0" borderId="0" xfId="1" applyFont="1"/>
    <xf numFmtId="3" fontId="2" fillId="17" borderId="0" xfId="34" applyNumberFormat="1" applyFont="1" applyFill="1"/>
    <xf numFmtId="10" fontId="2" fillId="0" borderId="0" xfId="1" applyNumberFormat="1" applyFont="1" applyFill="1" applyBorder="1"/>
    <xf numFmtId="171" fontId="2" fillId="0" borderId="0" xfId="1" applyNumberFormat="1" applyFont="1" applyFill="1" applyBorder="1"/>
    <xf numFmtId="10" fontId="2" fillId="0" borderId="0" xfId="34" applyNumberFormat="1" applyFont="1"/>
    <xf numFmtId="169" fontId="2" fillId="0" borderId="0" xfId="1" applyNumberFormat="1" applyFont="1" applyFill="1" applyBorder="1"/>
    <xf numFmtId="185" fontId="83" fillId="38" borderId="46" xfId="0" applyNumberFormat="1" applyFont="1" applyFill="1" applyBorder="1" applyAlignment="1">
      <alignment horizontal="right"/>
    </xf>
    <xf numFmtId="185" fontId="83" fillId="38" borderId="48" xfId="0" applyNumberFormat="1" applyFont="1" applyFill="1" applyBorder="1" applyAlignment="1">
      <alignment horizontal="right"/>
    </xf>
    <xf numFmtId="1" fontId="2" fillId="2" borderId="0" xfId="40" applyNumberFormat="1" applyFont="1" applyFill="1"/>
    <xf numFmtId="0" fontId="2" fillId="2" borderId="0" xfId="40" applyFont="1" applyFill="1"/>
    <xf numFmtId="2" fontId="2" fillId="17" borderId="0" xfId="40" applyNumberFormat="1" applyFont="1" applyFill="1"/>
    <xf numFmtId="2" fontId="2" fillId="2" borderId="0" xfId="40" applyNumberFormat="1" applyFont="1" applyFill="1"/>
    <xf numFmtId="167" fontId="2" fillId="5" borderId="0" xfId="40" applyNumberFormat="1" applyFont="1" applyFill="1"/>
    <xf numFmtId="0" fontId="16" fillId="0" borderId="0" xfId="20"/>
    <xf numFmtId="169" fontId="16" fillId="0" borderId="0" xfId="20" applyNumberFormat="1"/>
    <xf numFmtId="3" fontId="16" fillId="0" borderId="0" xfId="20" applyNumberFormat="1"/>
    <xf numFmtId="171" fontId="2" fillId="0" borderId="0" xfId="4" applyNumberFormat="1" applyFont="1"/>
    <xf numFmtId="0" fontId="2" fillId="4" borderId="0" xfId="0" applyFont="1" applyFill="1" applyAlignment="1">
      <alignment horizontal="center" vertical="center"/>
    </xf>
    <xf numFmtId="1" fontId="2" fillId="2" borderId="2" xfId="0" applyNumberFormat="1" applyFont="1" applyFill="1" applyBorder="1" applyAlignment="1">
      <alignment horizontal="center"/>
    </xf>
    <xf numFmtId="1" fontId="2" fillId="2" borderId="0" xfId="0" applyNumberFormat="1" applyFont="1" applyFill="1" applyAlignment="1">
      <alignment horizontal="center" vertical="center"/>
    </xf>
    <xf numFmtId="2" fontId="2" fillId="0" borderId="0" xfId="4" applyNumberFormat="1" applyFont="1"/>
    <xf numFmtId="0" fontId="2" fillId="0" borderId="0" xfId="4" applyFont="1"/>
    <xf numFmtId="185" fontId="84" fillId="38" borderId="0" xfId="0" applyNumberFormat="1" applyFont="1" applyFill="1"/>
    <xf numFmtId="9" fontId="64" fillId="23" borderId="0" xfId="0" applyNumberFormat="1" applyFont="1" applyFill="1"/>
    <xf numFmtId="1" fontId="111" fillId="18" borderId="0" xfId="0" applyNumberFormat="1" applyFont="1" applyFill="1"/>
    <xf numFmtId="169" fontId="56" fillId="39" borderId="0" xfId="0" applyNumberFormat="1" applyFont="1" applyFill="1"/>
    <xf numFmtId="0" fontId="12" fillId="34" borderId="0" xfId="0" applyFont="1" applyFill="1" applyBorder="1"/>
    <xf numFmtId="0" fontId="11" fillId="34" borderId="3" xfId="0" applyFont="1" applyFill="1" applyBorder="1"/>
    <xf numFmtId="0" fontId="10" fillId="40" borderId="0" xfId="0" applyFont="1" applyFill="1"/>
    <xf numFmtId="193" fontId="141" fillId="40" borderId="0" xfId="0" applyNumberFormat="1" applyFont="1" applyFill="1" applyAlignment="1">
      <alignment horizontal="center" vertical="center"/>
    </xf>
    <xf numFmtId="3" fontId="10" fillId="34" borderId="3" xfId="0" applyNumberFormat="1" applyFont="1" applyFill="1" applyBorder="1"/>
    <xf numFmtId="0" fontId="10" fillId="34" borderId="0" xfId="0" applyFont="1" applyFill="1" applyBorder="1" applyAlignment="1">
      <alignment horizontal="left" wrapText="1"/>
    </xf>
    <xf numFmtId="0" fontId="10" fillId="34" borderId="0" xfId="0" applyFont="1" applyFill="1" applyBorder="1" applyAlignment="1">
      <alignment horizontal="center" vertical="center" wrapText="1"/>
    </xf>
    <xf numFmtId="165" fontId="10" fillId="34" borderId="0" xfId="0" applyNumberFormat="1" applyFont="1" applyFill="1" applyBorder="1"/>
    <xf numFmtId="171" fontId="10" fillId="34" borderId="0" xfId="1" applyNumberFormat="1" applyFont="1" applyFill="1" applyBorder="1"/>
    <xf numFmtId="0" fontId="10" fillId="34" borderId="0" xfId="0" applyFont="1" applyFill="1" applyBorder="1"/>
    <xf numFmtId="10" fontId="10" fillId="34" borderId="0" xfId="0" applyNumberFormat="1" applyFont="1" applyFill="1" applyBorder="1"/>
    <xf numFmtId="10" fontId="10" fillId="34" borderId="0" xfId="1" applyNumberFormat="1" applyFont="1" applyFill="1" applyBorder="1"/>
    <xf numFmtId="0" fontId="0" fillId="34" borderId="0" xfId="0" applyFill="1" applyBorder="1"/>
    <xf numFmtId="0" fontId="10" fillId="34" borderId="0" xfId="0" applyFont="1" applyFill="1" applyBorder="1" applyAlignment="1">
      <alignment vertical="center" textRotation="90"/>
    </xf>
    <xf numFmtId="3" fontId="10" fillId="34" borderId="0" xfId="0" applyNumberFormat="1" applyFont="1" applyFill="1" applyBorder="1"/>
    <xf numFmtId="184" fontId="10" fillId="34" borderId="0" xfId="1" applyNumberFormat="1" applyFont="1" applyFill="1" applyBorder="1"/>
    <xf numFmtId="177" fontId="10" fillId="34" borderId="0" xfId="1" applyNumberFormat="1" applyFont="1" applyFill="1" applyBorder="1"/>
    <xf numFmtId="178" fontId="10" fillId="34" borderId="0" xfId="0" applyNumberFormat="1" applyFont="1" applyFill="1" applyBorder="1"/>
    <xf numFmtId="183" fontId="10" fillId="34" borderId="0" xfId="1" applyNumberFormat="1" applyFont="1" applyFill="1" applyBorder="1"/>
    <xf numFmtId="0" fontId="10" fillId="34" borderId="2" xfId="0" applyFont="1" applyFill="1" applyBorder="1"/>
    <xf numFmtId="0" fontId="10" fillId="34" borderId="0" xfId="0" applyFont="1" applyFill="1" applyBorder="1" applyAlignment="1">
      <alignment horizontal="right"/>
    </xf>
    <xf numFmtId="0" fontId="49" fillId="34" borderId="0" xfId="0" applyFont="1" applyFill="1" applyBorder="1"/>
    <xf numFmtId="0" fontId="60" fillId="34" borderId="0" xfId="0" applyFont="1" applyFill="1" applyBorder="1"/>
    <xf numFmtId="2" fontId="10" fillId="34" borderId="0" xfId="0" applyNumberFormat="1" applyFont="1" applyFill="1" applyBorder="1"/>
    <xf numFmtId="2" fontId="10" fillId="34" borderId="0" xfId="0" applyNumberFormat="1" applyFont="1" applyFill="1" applyBorder="1" applyAlignment="1">
      <alignment horizontal="right" vertical="center"/>
    </xf>
    <xf numFmtId="171" fontId="10" fillId="34" borderId="2" xfId="1" applyNumberFormat="1" applyFont="1" applyFill="1" applyBorder="1"/>
    <xf numFmtId="2" fontId="10" fillId="34" borderId="2" xfId="0" applyNumberFormat="1" applyFont="1" applyFill="1" applyBorder="1"/>
    <xf numFmtId="0" fontId="11" fillId="2" borderId="42" xfId="0" applyFont="1" applyFill="1" applyBorder="1" applyAlignment="1">
      <alignment horizontal="center" vertical="center"/>
    </xf>
    <xf numFmtId="0" fontId="11" fillId="2" borderId="34" xfId="0" applyFont="1" applyFill="1" applyBorder="1" applyAlignment="1">
      <alignment horizontal="center" vertical="center"/>
    </xf>
    <xf numFmtId="193" fontId="11" fillId="2" borderId="34" xfId="0" applyNumberFormat="1" applyFont="1" applyFill="1" applyBorder="1" applyAlignment="1">
      <alignment horizontal="right" vertical="center"/>
    </xf>
    <xf numFmtId="0" fontId="142" fillId="0" borderId="0" xfId="2" applyFont="1"/>
    <xf numFmtId="10" fontId="143" fillId="0" borderId="0" xfId="1" applyNumberFormat="1" applyFont="1"/>
    <xf numFmtId="0" fontId="16" fillId="0" borderId="0" xfId="2" applyAlignment="1">
      <alignment horizontal="center"/>
    </xf>
    <xf numFmtId="194" fontId="10" fillId="34" borderId="0" xfId="0" applyNumberFormat="1" applyFont="1" applyFill="1" applyAlignment="1">
      <alignment vertical="center"/>
    </xf>
    <xf numFmtId="0" fontId="144" fillId="34" borderId="0" xfId="0" applyFont="1" applyFill="1"/>
    <xf numFmtId="10" fontId="145" fillId="34" borderId="0" xfId="0" applyNumberFormat="1" applyFont="1" applyFill="1"/>
    <xf numFmtId="169" fontId="145" fillId="34" borderId="0" xfId="0" applyNumberFormat="1" applyFont="1" applyFill="1"/>
    <xf numFmtId="10" fontId="145" fillId="34" borderId="0" xfId="1" applyNumberFormat="1" applyFont="1" applyFill="1"/>
    <xf numFmtId="165" fontId="10" fillId="34" borderId="0" xfId="0" quotePrefix="1" applyNumberFormat="1" applyFont="1" applyFill="1"/>
    <xf numFmtId="0" fontId="56" fillId="51" borderId="0" xfId="0" applyFont="1" applyFill="1"/>
    <xf numFmtId="0" fontId="146" fillId="34" borderId="0" xfId="0" applyFont="1" applyFill="1"/>
    <xf numFmtId="9" fontId="146" fillId="34" borderId="0" xfId="1" applyFont="1" applyFill="1"/>
    <xf numFmtId="0" fontId="147" fillId="34" borderId="0" xfId="0" applyFont="1" applyFill="1"/>
    <xf numFmtId="171" fontId="146" fillId="34" borderId="0" xfId="1" applyNumberFormat="1" applyFont="1" applyFill="1"/>
    <xf numFmtId="3" fontId="147" fillId="34" borderId="0" xfId="0" applyNumberFormat="1" applyFont="1" applyFill="1"/>
    <xf numFmtId="2" fontId="147" fillId="34" borderId="0" xfId="0" applyNumberFormat="1" applyFont="1" applyFill="1"/>
    <xf numFmtId="171" fontId="147" fillId="34" borderId="0" xfId="1" applyNumberFormat="1" applyFont="1" applyFill="1" applyBorder="1"/>
    <xf numFmtId="10" fontId="148" fillId="34" borderId="0" xfId="1" applyNumberFormat="1" applyFont="1" applyFill="1"/>
    <xf numFmtId="10" fontId="149" fillId="34" borderId="0" xfId="1" applyNumberFormat="1" applyFont="1" applyFill="1"/>
    <xf numFmtId="0" fontId="144" fillId="34" borderId="0" xfId="0" applyFont="1" applyFill="1" applyBorder="1"/>
    <xf numFmtId="10" fontId="144" fillId="34" borderId="0" xfId="0" applyNumberFormat="1" applyFont="1" applyFill="1" applyBorder="1"/>
    <xf numFmtId="169" fontId="144" fillId="34" borderId="0" xfId="0" applyNumberFormat="1" applyFont="1" applyFill="1" applyBorder="1"/>
    <xf numFmtId="171" fontId="150" fillId="34" borderId="0" xfId="1" applyNumberFormat="1" applyFont="1" applyFill="1"/>
    <xf numFmtId="165" fontId="150" fillId="34" borderId="0" xfId="0" quotePrefix="1" applyNumberFormat="1" applyFont="1" applyFill="1"/>
    <xf numFmtId="10" fontId="150" fillId="34" borderId="0" xfId="0" applyNumberFormat="1" applyFont="1" applyFill="1"/>
    <xf numFmtId="0" fontId="150" fillId="34" borderId="0" xfId="0" applyFont="1" applyFill="1"/>
    <xf numFmtId="10" fontId="150" fillId="34" borderId="0" xfId="1" applyNumberFormat="1" applyFont="1" applyFill="1"/>
    <xf numFmtId="10" fontId="144" fillId="34" borderId="0" xfId="1" applyNumberFormat="1" applyFont="1" applyFill="1" applyBorder="1"/>
    <xf numFmtId="0" fontId="144" fillId="34" borderId="2" xfId="0" applyFont="1" applyFill="1" applyBorder="1"/>
    <xf numFmtId="171" fontId="144" fillId="34" borderId="2" xfId="1" applyNumberFormat="1" applyFont="1" applyFill="1" applyBorder="1"/>
    <xf numFmtId="0" fontId="150" fillId="34" borderId="0" xfId="0" applyFont="1" applyFill="1" applyBorder="1" applyAlignment="1">
      <alignment horizontal="left" wrapText="1"/>
    </xf>
    <xf numFmtId="0" fontId="150" fillId="34" borderId="0" xfId="0" applyFont="1" applyFill="1" applyBorder="1" applyAlignment="1">
      <alignment horizontal="center" vertical="center" wrapText="1"/>
    </xf>
    <xf numFmtId="165" fontId="150" fillId="34" borderId="0" xfId="0" applyNumberFormat="1" applyFont="1" applyFill="1" applyBorder="1"/>
    <xf numFmtId="171" fontId="150" fillId="34" borderId="0" xfId="1" applyNumberFormat="1" applyFont="1" applyFill="1" applyBorder="1"/>
    <xf numFmtId="0" fontId="149" fillId="34" borderId="0" xfId="0" applyFont="1" applyFill="1" applyBorder="1"/>
    <xf numFmtId="10" fontId="149" fillId="34" borderId="0" xfId="1" applyNumberFormat="1" applyFont="1" applyFill="1" applyBorder="1"/>
    <xf numFmtId="193" fontId="11" fillId="34" borderId="2" xfId="0" applyNumberFormat="1" applyFont="1" applyFill="1" applyBorder="1" applyAlignment="1">
      <alignment vertical="center"/>
    </xf>
    <xf numFmtId="3" fontId="140" fillId="34" borderId="13" xfId="0" applyNumberFormat="1" applyFont="1" applyFill="1" applyBorder="1" applyAlignment="1">
      <alignment vertical="center"/>
    </xf>
    <xf numFmtId="0" fontId="146" fillId="39" borderId="2" xfId="0" applyFont="1" applyFill="1" applyBorder="1"/>
    <xf numFmtId="0" fontId="146" fillId="39" borderId="0" xfId="0" applyFont="1" applyFill="1"/>
    <xf numFmtId="165" fontId="10" fillId="34" borderId="2" xfId="0" applyNumberFormat="1" applyFont="1" applyFill="1" applyBorder="1"/>
    <xf numFmtId="0" fontId="0" fillId="34" borderId="2" xfId="0" applyFill="1" applyBorder="1"/>
    <xf numFmtId="182" fontId="139" fillId="5" borderId="34" xfId="0" applyNumberFormat="1" applyFont="1" applyFill="1" applyBorder="1" applyAlignment="1">
      <alignment horizontal="center" vertical="center"/>
    </xf>
    <xf numFmtId="3" fontId="10" fillId="4" borderId="34" xfId="0" applyNumberFormat="1" applyFont="1" applyFill="1" applyBorder="1"/>
    <xf numFmtId="182" fontId="139" fillId="4" borderId="34" xfId="0" applyNumberFormat="1" applyFont="1" applyFill="1" applyBorder="1" applyAlignment="1">
      <alignment horizontal="center" vertical="center"/>
    </xf>
    <xf numFmtId="182" fontId="139" fillId="3" borderId="34" xfId="0" applyNumberFormat="1" applyFont="1" applyFill="1" applyBorder="1" applyAlignment="1">
      <alignment horizontal="center" vertical="center"/>
    </xf>
    <xf numFmtId="0" fontId="10" fillId="34" borderId="23" xfId="0" applyFont="1" applyFill="1" applyBorder="1" applyAlignment="1">
      <alignment horizontal="center" vertical="center"/>
    </xf>
    <xf numFmtId="0" fontId="33" fillId="41" borderId="29" xfId="0" applyFont="1" applyFill="1" applyBorder="1"/>
    <xf numFmtId="0" fontId="33" fillId="41" borderId="57" xfId="0" applyFont="1" applyFill="1" applyBorder="1"/>
    <xf numFmtId="3" fontId="60" fillId="39" borderId="57" xfId="0" applyNumberFormat="1" applyFont="1" applyFill="1" applyBorder="1"/>
    <xf numFmtId="185" fontId="96" fillId="38" borderId="58" xfId="0" applyNumberFormat="1" applyFont="1" applyFill="1" applyBorder="1" applyProtection="1">
      <protection hidden="1"/>
    </xf>
    <xf numFmtId="185" fontId="60" fillId="39" borderId="57" xfId="0" applyNumberFormat="1" applyFont="1" applyFill="1" applyBorder="1"/>
    <xf numFmtId="171" fontId="100" fillId="39" borderId="57" xfId="1" applyNumberFormat="1" applyFont="1" applyFill="1" applyBorder="1"/>
    <xf numFmtId="185" fontId="100" fillId="39" borderId="57" xfId="0" applyNumberFormat="1" applyFont="1" applyFill="1" applyBorder="1"/>
    <xf numFmtId="185" fontId="100" fillId="39" borderId="0" xfId="0" applyNumberFormat="1" applyFont="1" applyFill="1"/>
    <xf numFmtId="185" fontId="100" fillId="38" borderId="57" xfId="0" applyNumberFormat="1" applyFont="1" applyFill="1" applyBorder="1"/>
    <xf numFmtId="185" fontId="100" fillId="38" borderId="57" xfId="0" applyNumberFormat="1" applyFont="1" applyFill="1" applyBorder="1" applyAlignment="1">
      <alignment horizontal="right"/>
    </xf>
    <xf numFmtId="0" fontId="135" fillId="0" borderId="0" xfId="0" applyFont="1" applyAlignment="1">
      <alignment horizontal="center" vertical="center" readingOrder="1"/>
    </xf>
    <xf numFmtId="3" fontId="152" fillId="0" borderId="0" xfId="0" applyNumberFormat="1" applyFont="1" applyAlignment="1">
      <alignment horizontal="center" vertical="center" readingOrder="1"/>
    </xf>
    <xf numFmtId="185" fontId="151" fillId="51" borderId="0" xfId="0" applyNumberFormat="1" applyFont="1" applyFill="1"/>
    <xf numFmtId="177" fontId="56" fillId="51" borderId="0" xfId="1" applyNumberFormat="1" applyFont="1" applyFill="1"/>
    <xf numFmtId="0" fontId="1" fillId="0" borderId="0" xfId="66"/>
    <xf numFmtId="0" fontId="153" fillId="0" borderId="0" xfId="66" applyFont="1"/>
    <xf numFmtId="0" fontId="34" fillId="0" borderId="0" xfId="66" applyFont="1"/>
    <xf numFmtId="9" fontId="1" fillId="0" borderId="0" xfId="66" applyNumberFormat="1"/>
    <xf numFmtId="3" fontId="1" fillId="0" borderId="0" xfId="66" applyNumberFormat="1"/>
    <xf numFmtId="4" fontId="1" fillId="0" borderId="0" xfId="66" applyNumberFormat="1"/>
    <xf numFmtId="2" fontId="1" fillId="0" borderId="0" xfId="66" applyNumberFormat="1" applyAlignment="1">
      <alignment horizontal="right"/>
    </xf>
    <xf numFmtId="2" fontId="1" fillId="0" borderId="0" xfId="66" applyNumberFormat="1"/>
    <xf numFmtId="2" fontId="34" fillId="0" borderId="0" xfId="66" applyNumberFormat="1" applyFont="1"/>
    <xf numFmtId="3" fontId="60" fillId="39" borderId="0" xfId="0" applyNumberFormat="1" applyFont="1" applyFill="1" applyBorder="1"/>
    <xf numFmtId="0" fontId="131" fillId="39" borderId="0" xfId="0" applyFont="1" applyFill="1" applyBorder="1"/>
    <xf numFmtId="0" fontId="132" fillId="39" borderId="0" xfId="0" applyFont="1" applyFill="1" applyBorder="1"/>
    <xf numFmtId="0" fontId="134" fillId="39" borderId="0" xfId="0" applyFont="1" applyFill="1" applyBorder="1"/>
    <xf numFmtId="3" fontId="135" fillId="39" borderId="0" xfId="0" applyNumberFormat="1" applyFont="1" applyFill="1" applyBorder="1"/>
    <xf numFmtId="3" fontId="136" fillId="39" borderId="0" xfId="0" applyNumberFormat="1" applyFont="1" applyFill="1" applyBorder="1"/>
    <xf numFmtId="3" fontId="132" fillId="39" borderId="0" xfId="0" applyNumberFormat="1" applyFont="1" applyFill="1" applyBorder="1"/>
    <xf numFmtId="185" fontId="100" fillId="39" borderId="3" xfId="0" applyNumberFormat="1" applyFont="1" applyFill="1" applyBorder="1"/>
    <xf numFmtId="185" fontId="100" fillId="39" borderId="13" xfId="0" applyNumberFormat="1" applyFont="1" applyFill="1" applyBorder="1"/>
    <xf numFmtId="0" fontId="117" fillId="39" borderId="0" xfId="0" applyFont="1" applyFill="1"/>
    <xf numFmtId="0" fontId="117" fillId="39" borderId="34" xfId="0" applyFont="1" applyFill="1" applyBorder="1"/>
    <xf numFmtId="185" fontId="83" fillId="38" borderId="34" xfId="0" applyNumberFormat="1" applyFont="1" applyFill="1" applyBorder="1"/>
    <xf numFmtId="185" fontId="96" fillId="38" borderId="34" xfId="0" applyNumberFormat="1" applyFont="1" applyFill="1" applyBorder="1"/>
    <xf numFmtId="0" fontId="33" fillId="41" borderId="59" xfId="0" applyFont="1" applyFill="1" applyBorder="1"/>
    <xf numFmtId="3" fontId="33" fillId="40" borderId="59" xfId="0" applyNumberFormat="1" applyFont="1" applyFill="1" applyBorder="1" applyAlignment="1">
      <alignment horizontal="right"/>
    </xf>
    <xf numFmtId="0" fontId="56" fillId="39" borderId="0" xfId="0" applyFont="1" applyFill="1" applyBorder="1"/>
    <xf numFmtId="0" fontId="56" fillId="39" borderId="4" xfId="0" applyFont="1" applyFill="1" applyBorder="1"/>
    <xf numFmtId="185" fontId="56" fillId="51" borderId="6" xfId="0" applyNumberFormat="1" applyFont="1" applyFill="1" applyBorder="1"/>
    <xf numFmtId="0" fontId="56" fillId="39" borderId="9" xfId="0" applyFont="1" applyFill="1" applyBorder="1"/>
    <xf numFmtId="3" fontId="56" fillId="39" borderId="10" xfId="0" applyNumberFormat="1" applyFont="1" applyFill="1" applyBorder="1"/>
    <xf numFmtId="190" fontId="56" fillId="39" borderId="9" xfId="0" applyNumberFormat="1" applyFont="1" applyFill="1" applyBorder="1"/>
    <xf numFmtId="0" fontId="56" fillId="39" borderId="10" xfId="0" applyFont="1" applyFill="1" applyBorder="1"/>
    <xf numFmtId="185" fontId="56" fillId="39" borderId="10" xfId="0" applyNumberFormat="1" applyFont="1" applyFill="1" applyBorder="1"/>
    <xf numFmtId="0" fontId="56" fillId="51" borderId="9" xfId="0" applyFont="1" applyFill="1" applyBorder="1"/>
    <xf numFmtId="0" fontId="56" fillId="51" borderId="10" xfId="0" applyFont="1" applyFill="1" applyBorder="1"/>
    <xf numFmtId="0" fontId="129" fillId="0" borderId="10" xfId="0" applyFont="1" applyBorder="1"/>
    <xf numFmtId="0" fontId="130" fillId="0" borderId="10" xfId="0" applyFont="1" applyBorder="1"/>
    <xf numFmtId="0" fontId="56" fillId="39" borderId="7" xfId="0" applyFont="1" applyFill="1" applyBorder="1"/>
    <xf numFmtId="0" fontId="56" fillId="39" borderId="11" xfId="0" applyFont="1" applyFill="1" applyBorder="1"/>
    <xf numFmtId="0" fontId="156" fillId="0" borderId="0" xfId="66" applyFont="1" applyAlignment="1">
      <alignment wrapText="1"/>
    </xf>
    <xf numFmtId="4" fontId="153" fillId="0" borderId="0" xfId="66" applyNumberFormat="1" applyFont="1"/>
    <xf numFmtId="0" fontId="156" fillId="0" borderId="0" xfId="66" applyFont="1"/>
    <xf numFmtId="4" fontId="156" fillId="0" borderId="0" xfId="66" applyNumberFormat="1" applyFont="1"/>
    <xf numFmtId="0" fontId="156" fillId="0" borderId="0" xfId="66" applyFont="1" applyAlignment="1">
      <alignment horizontal="center" vertical="center" wrapText="1"/>
    </xf>
    <xf numFmtId="3" fontId="153" fillId="0" borderId="0" xfId="66" applyNumberFormat="1" applyFont="1"/>
    <xf numFmtId="0" fontId="1" fillId="0" borderId="0" xfId="66" applyAlignment="1">
      <alignment horizontal="center"/>
    </xf>
    <xf numFmtId="2" fontId="1" fillId="0" borderId="0" xfId="66" applyNumberFormat="1" applyAlignment="1">
      <alignment horizontal="center"/>
    </xf>
    <xf numFmtId="0" fontId="154" fillId="0" borderId="0" xfId="66" applyFont="1"/>
    <xf numFmtId="4" fontId="154" fillId="0" borderId="0" xfId="66" applyNumberFormat="1" applyFont="1"/>
    <xf numFmtId="3" fontId="154" fillId="0" borderId="0" xfId="66" applyNumberFormat="1" applyFont="1"/>
    <xf numFmtId="173" fontId="1" fillId="0" borderId="0" xfId="66" applyNumberFormat="1"/>
    <xf numFmtId="0" fontId="1" fillId="43" borderId="0" xfId="66" applyFill="1"/>
    <xf numFmtId="167" fontId="1" fillId="0" borderId="0" xfId="66" applyNumberFormat="1" applyAlignment="1">
      <alignment horizontal="right"/>
    </xf>
    <xf numFmtId="195" fontId="0" fillId="0" borderId="0" xfId="69" applyFont="1"/>
    <xf numFmtId="195" fontId="0" fillId="0" borderId="0" xfId="69" applyFont="1" applyAlignment="1">
      <alignment horizontal="right"/>
    </xf>
    <xf numFmtId="196" fontId="1" fillId="0" borderId="0" xfId="66" applyNumberFormat="1"/>
    <xf numFmtId="197" fontId="1" fillId="0" borderId="0" xfId="66" applyNumberFormat="1"/>
    <xf numFmtId="195" fontId="0" fillId="43" borderId="0" xfId="69" applyFont="1" applyFill="1"/>
    <xf numFmtId="195" fontId="1" fillId="0" borderId="0" xfId="66" applyNumberFormat="1"/>
    <xf numFmtId="188" fontId="1" fillId="0" borderId="0" xfId="66" applyNumberFormat="1"/>
    <xf numFmtId="4" fontId="1" fillId="43" borderId="0" xfId="66" applyNumberFormat="1" applyFill="1"/>
    <xf numFmtId="198" fontId="1" fillId="0" borderId="0" xfId="66" applyNumberFormat="1" applyAlignment="1">
      <alignment horizontal="center"/>
    </xf>
    <xf numFmtId="9" fontId="0" fillId="0" borderId="0" xfId="67" applyFont="1"/>
    <xf numFmtId="199" fontId="153" fillId="0" borderId="0" xfId="66" applyNumberFormat="1" applyFont="1" applyAlignment="1">
      <alignment horizontal="right"/>
    </xf>
    <xf numFmtId="3" fontId="106" fillId="0" borderId="0" xfId="66" applyNumberFormat="1" applyFont="1"/>
    <xf numFmtId="0" fontId="35" fillId="0" borderId="12" xfId="66" applyFont="1" applyBorder="1" applyAlignment="1">
      <alignment horizontal="centerContinuous"/>
    </xf>
    <xf numFmtId="0" fontId="1" fillId="0" borderId="8" xfId="66" applyBorder="1"/>
    <xf numFmtId="0" fontId="35" fillId="0" borderId="12" xfId="66" applyFont="1" applyBorder="1" applyAlignment="1">
      <alignment horizontal="center"/>
    </xf>
    <xf numFmtId="2" fontId="155" fillId="0" borderId="0" xfId="66" applyNumberFormat="1" applyFont="1"/>
    <xf numFmtId="3" fontId="34" fillId="0" borderId="0" xfId="66" applyNumberFormat="1" applyFont="1"/>
    <xf numFmtId="0" fontId="157" fillId="0" borderId="0" xfId="66" applyFont="1"/>
    <xf numFmtId="171" fontId="13" fillId="0" borderId="0" xfId="66" applyNumberFormat="1" applyFont="1" applyAlignment="1">
      <alignment horizontal="center"/>
    </xf>
    <xf numFmtId="171" fontId="13" fillId="52" borderId="0" xfId="66" applyNumberFormat="1" applyFont="1" applyFill="1" applyAlignment="1">
      <alignment horizontal="center"/>
    </xf>
    <xf numFmtId="171" fontId="49" fillId="0" borderId="0" xfId="66" applyNumberFormat="1" applyFont="1" applyAlignment="1">
      <alignment horizontal="center"/>
    </xf>
    <xf numFmtId="3" fontId="0" fillId="0" borderId="0" xfId="69" applyNumberFormat="1" applyFont="1"/>
    <xf numFmtId="3" fontId="158" fillId="0" borderId="0" xfId="66" applyNumberFormat="1" applyFont="1"/>
    <xf numFmtId="14" fontId="159" fillId="0" borderId="0" xfId="66" applyNumberFormat="1" applyFont="1"/>
    <xf numFmtId="0" fontId="159" fillId="0" borderId="0" xfId="66" applyFont="1"/>
    <xf numFmtId="3" fontId="159" fillId="0" borderId="0" xfId="66" applyNumberFormat="1" applyFont="1"/>
    <xf numFmtId="0" fontId="160" fillId="38" borderId="0" xfId="66" applyFont="1" applyFill="1"/>
    <xf numFmtId="0" fontId="161" fillId="38" borderId="0" xfId="66" applyFont="1" applyFill="1"/>
    <xf numFmtId="0" fontId="162" fillId="38" borderId="0" xfId="66" applyFont="1" applyFill="1"/>
    <xf numFmtId="0" fontId="163" fillId="53" borderId="17" xfId="66" applyFont="1" applyFill="1" applyBorder="1"/>
    <xf numFmtId="0" fontId="163" fillId="44" borderId="17" xfId="66" applyFont="1" applyFill="1" applyBorder="1" applyAlignment="1">
      <alignment horizontal="right"/>
    </xf>
    <xf numFmtId="0" fontId="96" fillId="38" borderId="2" xfId="66" applyFont="1" applyFill="1" applyBorder="1"/>
    <xf numFmtId="0" fontId="161" fillId="38" borderId="2" xfId="66" applyFont="1" applyFill="1" applyBorder="1"/>
    <xf numFmtId="0" fontId="162" fillId="38" borderId="2" xfId="66" applyFont="1" applyFill="1" applyBorder="1"/>
    <xf numFmtId="3" fontId="161" fillId="38" borderId="0" xfId="66" applyNumberFormat="1" applyFont="1" applyFill="1"/>
    <xf numFmtId="3" fontId="100" fillId="38" borderId="0" xfId="66" applyNumberFormat="1" applyFont="1" applyFill="1" applyAlignment="1">
      <alignment horizontal="right"/>
    </xf>
    <xf numFmtId="0" fontId="160" fillId="54" borderId="0" xfId="66" applyFont="1" applyFill="1"/>
    <xf numFmtId="3" fontId="161" fillId="55" borderId="0" xfId="66" applyNumberFormat="1" applyFont="1" applyFill="1"/>
    <xf numFmtId="3" fontId="100" fillId="38" borderId="0" xfId="66" applyNumberFormat="1" applyFont="1" applyFill="1"/>
    <xf numFmtId="0" fontId="160" fillId="38" borderId="3" xfId="66" applyFont="1" applyFill="1" applyBorder="1"/>
    <xf numFmtId="3" fontId="161" fillId="38" borderId="3" xfId="66" applyNumberFormat="1" applyFont="1" applyFill="1" applyBorder="1"/>
    <xf numFmtId="0" fontId="100" fillId="38" borderId="0" xfId="66" applyFont="1" applyFill="1" applyAlignment="1">
      <alignment horizontal="center" vertical="center"/>
    </xf>
    <xf numFmtId="0" fontId="100" fillId="38" borderId="0" xfId="66" applyFont="1" applyFill="1"/>
    <xf numFmtId="3" fontId="96" fillId="38" borderId="3" xfId="66" applyNumberFormat="1" applyFont="1" applyFill="1" applyBorder="1"/>
    <xf numFmtId="0" fontId="100" fillId="38" borderId="2" xfId="66" applyFont="1" applyFill="1" applyBorder="1"/>
    <xf numFmtId="3" fontId="161" fillId="38" borderId="13" xfId="66" applyNumberFormat="1" applyFont="1" applyFill="1" applyBorder="1"/>
    <xf numFmtId="0" fontId="100" fillId="38" borderId="13" xfId="66" applyFont="1" applyFill="1" applyBorder="1"/>
    <xf numFmtId="3" fontId="100" fillId="38" borderId="3" xfId="66" applyNumberFormat="1" applyFont="1" applyFill="1" applyBorder="1"/>
    <xf numFmtId="0" fontId="160" fillId="38" borderId="13" xfId="66" applyFont="1" applyFill="1" applyBorder="1"/>
    <xf numFmtId="3" fontId="100" fillId="38" borderId="13" xfId="66" applyNumberFormat="1" applyFont="1" applyFill="1" applyBorder="1"/>
    <xf numFmtId="0" fontId="164" fillId="38" borderId="0" xfId="66" applyFont="1" applyFill="1"/>
    <xf numFmtId="3" fontId="162" fillId="38" borderId="0" xfId="66" applyNumberFormat="1" applyFont="1" applyFill="1"/>
    <xf numFmtId="10" fontId="162" fillId="38" borderId="0" xfId="66" applyNumberFormat="1" applyFont="1" applyFill="1"/>
    <xf numFmtId="0" fontId="132" fillId="0" borderId="0" xfId="26" applyFont="1" applyAlignment="1">
      <alignment horizontal="center"/>
    </xf>
    <xf numFmtId="0" fontId="132" fillId="0" borderId="0" xfId="26" applyFont="1"/>
    <xf numFmtId="200" fontId="165" fillId="0" borderId="0" xfId="66" applyNumberFormat="1" applyFont="1" applyAlignment="1">
      <alignment horizontal="center"/>
    </xf>
    <xf numFmtId="0" fontId="166" fillId="0" borderId="0" xfId="66" applyFont="1"/>
    <xf numFmtId="0" fontId="165" fillId="0" borderId="0" xfId="66" applyFont="1"/>
    <xf numFmtId="0" fontId="165" fillId="0" borderId="60" xfId="66" applyFont="1" applyBorder="1"/>
    <xf numFmtId="200" fontId="165" fillId="0" borderId="60" xfId="66" applyNumberFormat="1" applyFont="1" applyBorder="1" applyAlignment="1">
      <alignment horizontal="center"/>
    </xf>
    <xf numFmtId="200" fontId="166" fillId="0" borderId="0" xfId="66" applyNumberFormat="1" applyFont="1" applyAlignment="1">
      <alignment horizontal="center"/>
    </xf>
    <xf numFmtId="0" fontId="166" fillId="0" borderId="60" xfId="66" applyFont="1" applyBorder="1"/>
    <xf numFmtId="200" fontId="166" fillId="0" borderId="60" xfId="66" applyNumberFormat="1" applyFont="1" applyBorder="1" applyAlignment="1">
      <alignment horizontal="center"/>
    </xf>
    <xf numFmtId="200" fontId="166" fillId="0" borderId="61" xfId="66" applyNumberFormat="1" applyFont="1" applyBorder="1" applyAlignment="1">
      <alignment horizontal="center"/>
    </xf>
    <xf numFmtId="0" fontId="0" fillId="0" borderId="0" xfId="0" applyFill="1"/>
    <xf numFmtId="3" fontId="0" fillId="0" borderId="0" xfId="0" applyNumberFormat="1" applyFill="1"/>
    <xf numFmtId="0" fontId="136" fillId="0" borderId="0" xfId="0" applyFont="1" applyAlignment="1">
      <alignment vertical="center"/>
    </xf>
    <xf numFmtId="3" fontId="136" fillId="0" borderId="0" xfId="0" applyNumberFormat="1" applyFont="1" applyAlignment="1">
      <alignment vertical="center"/>
    </xf>
    <xf numFmtId="3" fontId="5" fillId="0" borderId="0" xfId="34" applyNumberFormat="1" applyFill="1"/>
    <xf numFmtId="3" fontId="35" fillId="0" borderId="0" xfId="34" applyNumberFormat="1" applyFont="1" applyFill="1"/>
    <xf numFmtId="0" fontId="35" fillId="0" borderId="0" xfId="34" applyFont="1" applyFill="1"/>
    <xf numFmtId="9" fontId="35" fillId="0" borderId="0" xfId="34" applyNumberFormat="1" applyFont="1" applyFill="1"/>
    <xf numFmtId="3" fontId="2" fillId="0" borderId="0" xfId="34" applyNumberFormat="1" applyFont="1" applyFill="1"/>
    <xf numFmtId="37" fontId="5" fillId="0" borderId="0" xfId="34" applyNumberFormat="1" applyFill="1"/>
    <xf numFmtId="0" fontId="10" fillId="2" borderId="62" xfId="0" applyFont="1" applyFill="1" applyBorder="1"/>
    <xf numFmtId="0" fontId="10" fillId="2" borderId="63" xfId="0" applyFont="1" applyFill="1" applyBorder="1"/>
    <xf numFmtId="171" fontId="10" fillId="2" borderId="63" xfId="1" applyNumberFormat="1" applyFont="1" applyFill="1" applyBorder="1"/>
    <xf numFmtId="10" fontId="11" fillId="2" borderId="9" xfId="1" applyNumberFormat="1" applyFont="1" applyFill="1" applyBorder="1"/>
    <xf numFmtId="10" fontId="11" fillId="2" borderId="0" xfId="1" applyNumberFormat="1" applyFont="1" applyFill="1" applyBorder="1"/>
    <xf numFmtId="0" fontId="10" fillId="2" borderId="0" xfId="0" applyFont="1" applyFill="1" applyBorder="1"/>
    <xf numFmtId="10" fontId="10" fillId="2" borderId="0" xfId="1" applyNumberFormat="1" applyFont="1" applyFill="1" applyBorder="1"/>
    <xf numFmtId="43" fontId="10" fillId="2" borderId="0" xfId="22" applyFont="1" applyFill="1" applyBorder="1"/>
    <xf numFmtId="0" fontId="10" fillId="2" borderId="9" xfId="0" applyFont="1" applyFill="1" applyBorder="1"/>
    <xf numFmtId="0" fontId="10" fillId="2" borderId="38" xfId="0" applyFont="1" applyFill="1" applyBorder="1"/>
    <xf numFmtId="10" fontId="10" fillId="2" borderId="1" xfId="1" applyNumberFormat="1" applyFont="1" applyFill="1" applyBorder="1"/>
    <xf numFmtId="0" fontId="11" fillId="5" borderId="14" xfId="0" applyFont="1" applyFill="1" applyBorder="1" applyAlignment="1">
      <alignment horizontal="center" vertical="center"/>
    </xf>
    <xf numFmtId="0" fontId="11" fillId="5" borderId="15" xfId="0" applyFont="1" applyFill="1" applyBorder="1" applyAlignment="1">
      <alignment horizontal="center" vertical="center"/>
    </xf>
    <xf numFmtId="0" fontId="11" fillId="5" borderId="16" xfId="0" applyFont="1" applyFill="1" applyBorder="1" applyAlignment="1">
      <alignment horizontal="center" vertical="center"/>
    </xf>
    <xf numFmtId="0" fontId="10" fillId="34" borderId="56" xfId="0" applyFont="1" applyFill="1" applyBorder="1" applyAlignment="1">
      <alignment horizontal="center" vertical="center" textRotation="90"/>
    </xf>
    <xf numFmtId="0" fontId="10" fillId="34" borderId="10" xfId="0" applyFont="1" applyFill="1" applyBorder="1" applyAlignment="1">
      <alignment horizontal="center" vertical="center" textRotation="90"/>
    </xf>
    <xf numFmtId="0" fontId="10" fillId="34" borderId="11" xfId="0" applyFont="1" applyFill="1" applyBorder="1" applyAlignment="1">
      <alignment horizontal="center" vertical="center" textRotation="90"/>
    </xf>
    <xf numFmtId="0" fontId="10" fillId="34" borderId="6" xfId="0" applyFont="1" applyFill="1" applyBorder="1" applyAlignment="1">
      <alignment horizontal="center" vertical="center" textRotation="90"/>
    </xf>
    <xf numFmtId="0" fontId="140" fillId="5" borderId="42" xfId="0" applyFont="1" applyFill="1" applyBorder="1" applyAlignment="1">
      <alignment horizontal="center" vertical="center"/>
    </xf>
    <xf numFmtId="0" fontId="140" fillId="5" borderId="34" xfId="0" applyFont="1" applyFill="1" applyBorder="1" applyAlignment="1">
      <alignment horizontal="center" vertical="center"/>
    </xf>
    <xf numFmtId="0" fontId="140" fillId="3" borderId="34" xfId="0" applyFont="1" applyFill="1" applyBorder="1" applyAlignment="1">
      <alignment horizontal="center" vertical="center"/>
    </xf>
    <xf numFmtId="0" fontId="10" fillId="34" borderId="3" xfId="0" applyFont="1" applyFill="1" applyBorder="1" applyAlignment="1">
      <alignment horizontal="left" vertical="center" wrapText="1"/>
    </xf>
    <xf numFmtId="0" fontId="10" fillId="34" borderId="0" xfId="0" applyFont="1" applyFill="1" applyBorder="1" applyAlignment="1">
      <alignment horizontal="left" vertical="center" wrapText="1"/>
    </xf>
    <xf numFmtId="0" fontId="10" fillId="34" borderId="14" xfId="0" applyFont="1" applyFill="1" applyBorder="1" applyAlignment="1">
      <alignment horizontal="center" vertical="center" textRotation="90"/>
    </xf>
    <xf numFmtId="0" fontId="10" fillId="34" borderId="15" xfId="0" applyFont="1" applyFill="1" applyBorder="1" applyAlignment="1">
      <alignment horizontal="center" vertical="center" textRotation="90"/>
    </xf>
    <xf numFmtId="0" fontId="10" fillId="34" borderId="9" xfId="0" applyFont="1" applyFill="1" applyBorder="1" applyAlignment="1">
      <alignment horizontal="center" vertical="center" textRotation="90"/>
    </xf>
    <xf numFmtId="0" fontId="10" fillId="34" borderId="16" xfId="0" applyFont="1" applyFill="1" applyBorder="1" applyAlignment="1">
      <alignment horizontal="center" vertical="center" textRotation="90"/>
    </xf>
    <xf numFmtId="0" fontId="10" fillId="34" borderId="9" xfId="0" applyFont="1" applyFill="1" applyBorder="1" applyAlignment="1">
      <alignment horizontal="center"/>
    </xf>
    <xf numFmtId="0" fontId="10" fillId="34" borderId="0" xfId="0" applyFont="1" applyFill="1" applyAlignment="1">
      <alignment horizontal="center"/>
    </xf>
    <xf numFmtId="0" fontId="10" fillId="34" borderId="5" xfId="0" applyFont="1" applyFill="1" applyBorder="1" applyAlignment="1">
      <alignment horizontal="center" vertical="center" textRotation="90"/>
    </xf>
    <xf numFmtId="0" fontId="11" fillId="4" borderId="14"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6" xfId="0" applyFont="1" applyFill="1" applyBorder="1" applyAlignment="1">
      <alignment horizontal="center" vertical="center"/>
    </xf>
    <xf numFmtId="0" fontId="58" fillId="34" borderId="0" xfId="0" applyFont="1" applyFill="1" applyAlignment="1">
      <alignment horizontal="left" vertical="center"/>
    </xf>
    <xf numFmtId="0" fontId="58" fillId="34" borderId="1" xfId="0" applyFont="1" applyFill="1" applyBorder="1" applyAlignment="1">
      <alignment horizontal="left" vertical="center"/>
    </xf>
    <xf numFmtId="0" fontId="12" fillId="34" borderId="2" xfId="0" applyFont="1" applyFill="1" applyBorder="1" applyAlignment="1">
      <alignment horizontal="center"/>
    </xf>
    <xf numFmtId="0" fontId="10" fillId="34" borderId="3" xfId="0" applyFont="1" applyFill="1" applyBorder="1" applyAlignment="1">
      <alignment horizontal="center" vertical="center" wrapText="1"/>
    </xf>
    <xf numFmtId="0" fontId="137" fillId="34" borderId="6" xfId="0" applyFont="1" applyFill="1" applyBorder="1" applyAlignment="1">
      <alignment horizontal="center" vertical="center" textRotation="90"/>
    </xf>
    <xf numFmtId="0" fontId="137" fillId="34" borderId="10" xfId="0" applyFont="1" applyFill="1" applyBorder="1" applyAlignment="1">
      <alignment horizontal="center" vertical="center" textRotation="90"/>
    </xf>
    <xf numFmtId="0" fontId="137" fillId="34" borderId="11" xfId="0" applyFont="1" applyFill="1" applyBorder="1" applyAlignment="1">
      <alignment horizontal="center" vertical="center" textRotation="90"/>
    </xf>
    <xf numFmtId="0" fontId="10" fillId="34" borderId="0" xfId="0" applyFont="1" applyFill="1" applyAlignment="1">
      <alignment horizontal="left" wrapText="1"/>
    </xf>
    <xf numFmtId="0" fontId="10" fillId="34" borderId="0" xfId="0" applyFont="1" applyFill="1" applyAlignment="1">
      <alignment horizontal="left" vertical="center" wrapText="1"/>
    </xf>
    <xf numFmtId="0" fontId="137" fillId="34" borderId="0" xfId="0" applyFont="1" applyFill="1" applyBorder="1" applyAlignment="1">
      <alignment horizontal="center" vertical="center" textRotation="90"/>
    </xf>
    <xf numFmtId="0" fontId="138" fillId="4" borderId="7" xfId="0" applyFont="1" applyFill="1" applyBorder="1" applyAlignment="1">
      <alignment horizontal="center"/>
    </xf>
    <xf numFmtId="0" fontId="138" fillId="4" borderId="8" xfId="0" applyFont="1" applyFill="1" applyBorder="1" applyAlignment="1">
      <alignment horizontal="center"/>
    </xf>
    <xf numFmtId="0" fontId="140" fillId="4" borderId="42" xfId="0" applyFont="1" applyFill="1" applyBorder="1" applyAlignment="1">
      <alignment horizontal="center" vertical="center"/>
    </xf>
    <xf numFmtId="0" fontId="140" fillId="4" borderId="34" xfId="0" applyFont="1" applyFill="1" applyBorder="1" applyAlignment="1">
      <alignment horizontal="center" vertical="center"/>
    </xf>
    <xf numFmtId="0" fontId="138" fillId="5" borderId="7" xfId="0" applyFont="1" applyFill="1" applyBorder="1" applyAlignment="1">
      <alignment horizontal="center"/>
    </xf>
    <xf numFmtId="0" fontId="138" fillId="5" borderId="8" xfId="0" applyFont="1" applyFill="1" applyBorder="1" applyAlignment="1">
      <alignment horizontal="center"/>
    </xf>
    <xf numFmtId="0" fontId="10" fillId="34" borderId="0" xfId="0" applyFont="1" applyFill="1" applyBorder="1" applyAlignment="1">
      <alignment horizontal="center"/>
    </xf>
    <xf numFmtId="0" fontId="138" fillId="3" borderId="7" xfId="0" applyFont="1" applyFill="1" applyBorder="1" applyAlignment="1">
      <alignment horizontal="center"/>
    </xf>
    <xf numFmtId="0" fontId="138" fillId="3" borderId="8" xfId="0" applyFont="1" applyFill="1" applyBorder="1" applyAlignment="1">
      <alignment horizontal="center"/>
    </xf>
    <xf numFmtId="0" fontId="10" fillId="34" borderId="4" xfId="0" applyFont="1" applyFill="1" applyBorder="1" applyAlignment="1">
      <alignment horizontal="center"/>
    </xf>
    <xf numFmtId="0" fontId="10" fillId="34" borderId="5" xfId="0" applyFont="1" applyFill="1" applyBorder="1" applyAlignment="1">
      <alignment horizontal="center"/>
    </xf>
    <xf numFmtId="0" fontId="140" fillId="34" borderId="40" xfId="0" applyFont="1" applyFill="1" applyBorder="1" applyAlignment="1">
      <alignment horizontal="center" vertical="center"/>
    </xf>
    <xf numFmtId="0" fontId="140" fillId="34" borderId="13" xfId="0" applyFont="1" applyFill="1" applyBorder="1" applyAlignment="1">
      <alignment horizontal="center" vertical="center"/>
    </xf>
    <xf numFmtId="0" fontId="140" fillId="34" borderId="55" xfId="0" applyFont="1" applyFill="1" applyBorder="1" applyAlignment="1">
      <alignment horizontal="center" vertical="center"/>
    </xf>
    <xf numFmtId="0" fontId="140" fillId="34" borderId="2" xfId="0" applyFont="1" applyFill="1" applyBorder="1" applyAlignment="1">
      <alignment horizontal="center" vertical="center"/>
    </xf>
    <xf numFmtId="0" fontId="11" fillId="34" borderId="9" xfId="0" applyFont="1" applyFill="1" applyBorder="1" applyAlignment="1">
      <alignment horizontal="center"/>
    </xf>
    <xf numFmtId="0" fontId="11" fillId="34" borderId="0" xfId="0" applyFont="1" applyFill="1" applyAlignment="1">
      <alignment horizontal="center"/>
    </xf>
    <xf numFmtId="0" fontId="141" fillId="40" borderId="21" xfId="0" applyFont="1" applyFill="1" applyBorder="1" applyAlignment="1">
      <alignment horizontal="center" vertical="center"/>
    </xf>
    <xf numFmtId="0" fontId="141" fillId="40" borderId="23" xfId="0" applyFont="1" applyFill="1" applyBorder="1" applyAlignment="1">
      <alignment horizontal="center" vertical="center"/>
    </xf>
    <xf numFmtId="0" fontId="11" fillId="3" borderId="14" xfId="0" applyFont="1" applyFill="1" applyBorder="1" applyAlignment="1">
      <alignment horizontal="center" vertical="center"/>
    </xf>
    <xf numFmtId="0" fontId="11" fillId="3" borderId="15" xfId="0" applyFont="1" applyFill="1" applyBorder="1" applyAlignment="1">
      <alignment horizontal="center" vertical="center"/>
    </xf>
    <xf numFmtId="0" fontId="11" fillId="3" borderId="9" xfId="0" applyFont="1" applyFill="1" applyBorder="1" applyAlignment="1">
      <alignment horizontal="center" vertical="center"/>
    </xf>
    <xf numFmtId="0" fontId="11" fillId="3" borderId="16" xfId="0" applyFont="1" applyFill="1" applyBorder="1" applyAlignment="1">
      <alignment horizontal="center" vertical="center"/>
    </xf>
    <xf numFmtId="3" fontId="63" fillId="38" borderId="0" xfId="0" applyNumberFormat="1" applyFont="1" applyFill="1" applyAlignment="1" applyProtection="1">
      <alignment horizontal="left"/>
      <protection hidden="1"/>
    </xf>
    <xf numFmtId="3" fontId="63" fillId="38" borderId="28" xfId="0" applyNumberFormat="1" applyFont="1" applyFill="1" applyBorder="1" applyAlignment="1" applyProtection="1">
      <alignment horizontal="left"/>
      <protection hidden="1"/>
    </xf>
    <xf numFmtId="3" fontId="42" fillId="38" borderId="0" xfId="0" applyNumberFormat="1" applyFont="1" applyFill="1" applyAlignment="1" applyProtection="1">
      <alignment horizontal="left"/>
      <protection hidden="1"/>
    </xf>
    <xf numFmtId="0" fontId="133" fillId="39" borderId="0" xfId="0" applyFont="1" applyFill="1" applyBorder="1" applyAlignment="1">
      <alignment wrapText="1"/>
    </xf>
    <xf numFmtId="0" fontId="56" fillId="39" borderId="0" xfId="0" applyFont="1" applyFill="1" applyBorder="1" applyAlignment="1">
      <alignment horizontal="center" vertical="center"/>
    </xf>
    <xf numFmtId="0" fontId="56" fillId="39" borderId="0" xfId="0" applyFont="1" applyFill="1" applyAlignment="1">
      <alignment horizontal="center"/>
    </xf>
    <xf numFmtId="0" fontId="16" fillId="2" borderId="4" xfId="2" applyFill="1" applyBorder="1" applyAlignment="1">
      <alignment horizontal="center" vertical="center"/>
    </xf>
    <xf numFmtId="0" fontId="16" fillId="2" borderId="9" xfId="2" applyFill="1" applyBorder="1" applyAlignment="1">
      <alignment horizontal="center" vertical="center"/>
    </xf>
    <xf numFmtId="0" fontId="16" fillId="2" borderId="7" xfId="2" applyFill="1" applyBorder="1" applyAlignment="1">
      <alignment horizontal="center" vertical="center"/>
    </xf>
    <xf numFmtId="10" fontId="16" fillId="4" borderId="6" xfId="1" applyNumberFormat="1" applyFont="1" applyFill="1" applyBorder="1" applyAlignment="1">
      <alignment horizontal="center" vertical="center"/>
    </xf>
    <xf numFmtId="10" fontId="16" fillId="4" borderId="10" xfId="1" applyNumberFormat="1" applyFont="1" applyFill="1" applyBorder="1" applyAlignment="1">
      <alignment horizontal="center" vertical="center"/>
    </xf>
    <xf numFmtId="10" fontId="16" fillId="4" borderId="11" xfId="1" applyNumberFormat="1" applyFont="1" applyFill="1" applyBorder="1" applyAlignment="1">
      <alignment horizontal="center" vertical="center"/>
    </xf>
    <xf numFmtId="0" fontId="16" fillId="2" borderId="4" xfId="2" applyFill="1" applyBorder="1" applyAlignment="1">
      <alignment horizontal="center" vertical="center" wrapText="1"/>
    </xf>
    <xf numFmtId="0" fontId="16" fillId="2" borderId="9" xfId="2" applyFill="1" applyBorder="1" applyAlignment="1">
      <alignment horizontal="center" vertical="center" wrapText="1"/>
    </xf>
    <xf numFmtId="0" fontId="16" fillId="2" borderId="7" xfId="2" applyFill="1" applyBorder="1" applyAlignment="1">
      <alignment horizontal="center" vertical="center" wrapText="1"/>
    </xf>
    <xf numFmtId="0" fontId="32" fillId="5" borderId="0" xfId="4" applyFill="1" applyAlignment="1">
      <alignment horizontal="center" vertical="center"/>
    </xf>
    <xf numFmtId="9" fontId="32" fillId="11" borderId="0" xfId="4" applyNumberFormat="1" applyFill="1" applyAlignment="1">
      <alignment horizontal="center"/>
    </xf>
    <xf numFmtId="0" fontId="32" fillId="18" borderId="0" xfId="19" applyFill="1" applyAlignment="1">
      <alignment horizontal="center"/>
    </xf>
    <xf numFmtId="0" fontId="0" fillId="0" borderId="0" xfId="0" applyAlignment="1">
      <alignment horizontal="center"/>
    </xf>
    <xf numFmtId="0" fontId="9" fillId="0" borderId="0" xfId="0" applyFont="1" applyAlignment="1">
      <alignment horizontal="center"/>
    </xf>
    <xf numFmtId="0" fontId="34" fillId="0" borderId="0" xfId="0" applyFont="1" applyAlignment="1">
      <alignment horizontal="center"/>
    </xf>
    <xf numFmtId="0" fontId="0" fillId="3" borderId="0" xfId="0" applyFill="1" applyAlignment="1">
      <alignment horizontal="center"/>
    </xf>
    <xf numFmtId="0" fontId="10" fillId="2" borderId="0" xfId="0" applyFont="1" applyFill="1" applyAlignment="1">
      <alignment horizontal="left" wrapText="1"/>
    </xf>
    <xf numFmtId="0" fontId="10" fillId="2" borderId="14" xfId="0" applyFont="1" applyFill="1" applyBorder="1" applyAlignment="1">
      <alignment horizontal="center" vertical="center" textRotation="90"/>
    </xf>
    <xf numFmtId="0" fontId="10" fillId="2" borderId="15" xfId="0" applyFont="1" applyFill="1" applyBorder="1" applyAlignment="1">
      <alignment horizontal="center" vertical="center" textRotation="90"/>
    </xf>
    <xf numFmtId="0" fontId="10" fillId="2" borderId="16" xfId="0" applyFont="1" applyFill="1" applyBorder="1" applyAlignment="1">
      <alignment horizontal="center" vertical="center" textRotation="90"/>
    </xf>
    <xf numFmtId="0" fontId="11" fillId="4" borderId="3" xfId="0" applyFont="1" applyFill="1" applyBorder="1" applyAlignment="1">
      <alignment horizontal="center" vertical="center" textRotation="90"/>
    </xf>
    <xf numFmtId="0" fontId="11" fillId="4" borderId="0" xfId="0" applyFont="1" applyFill="1" applyAlignment="1">
      <alignment horizontal="center" vertical="center" textRotation="90"/>
    </xf>
    <xf numFmtId="0" fontId="58" fillId="3" borderId="0" xfId="0" applyFont="1" applyFill="1" applyAlignment="1">
      <alignment horizontal="left" vertical="center"/>
    </xf>
    <xf numFmtId="0" fontId="12" fillId="2" borderId="2" xfId="0" applyFont="1" applyFill="1" applyBorder="1" applyAlignment="1">
      <alignment horizontal="center"/>
    </xf>
    <xf numFmtId="0" fontId="10" fillId="2" borderId="3" xfId="0" applyFont="1" applyFill="1" applyBorder="1" applyAlignment="1">
      <alignment horizontal="left" vertical="center" wrapText="1"/>
    </xf>
    <xf numFmtId="0" fontId="75" fillId="31" borderId="0" xfId="0" applyFont="1" applyFill="1" applyAlignment="1">
      <alignment horizontal="center" vertical="center"/>
    </xf>
    <xf numFmtId="0" fontId="2" fillId="30" borderId="0" xfId="0" applyFont="1" applyFill="1" applyAlignment="1">
      <alignment horizontal="center" vertical="center" wrapText="1"/>
    </xf>
    <xf numFmtId="0" fontId="34" fillId="4" borderId="0" xfId="0" applyFont="1" applyFill="1" applyAlignment="1">
      <alignment horizontal="center" vertical="center"/>
    </xf>
    <xf numFmtId="0" fontId="2" fillId="30" borderId="0" xfId="0" applyFont="1" applyFill="1" applyAlignment="1">
      <alignment horizontal="center" wrapText="1"/>
    </xf>
    <xf numFmtId="49" fontId="73" fillId="24" borderId="0" xfId="7" applyNumberFormat="1" applyFont="1" applyFill="1" applyAlignment="1">
      <alignment horizontal="left" vertical="center"/>
    </xf>
    <xf numFmtId="0" fontId="9" fillId="2" borderId="0" xfId="0" applyFont="1" applyFill="1" applyAlignment="1">
      <alignment horizontal="center" vertical="center"/>
    </xf>
    <xf numFmtId="49" fontId="88" fillId="24" borderId="0" xfId="7" applyNumberFormat="1" applyFont="1" applyFill="1" applyAlignment="1">
      <alignment horizontal="center" vertical="center" wrapText="1"/>
    </xf>
    <xf numFmtId="49" fontId="73" fillId="24" borderId="0" xfId="7" applyNumberFormat="1" applyFont="1" applyFill="1" applyAlignment="1">
      <alignment horizontal="center" vertical="center" wrapText="1"/>
    </xf>
    <xf numFmtId="49" fontId="88" fillId="24" borderId="24" xfId="7" applyNumberFormat="1" applyFont="1" applyFill="1" applyBorder="1" applyAlignment="1">
      <alignment horizontal="center" vertical="center" wrapText="1"/>
    </xf>
    <xf numFmtId="49" fontId="88" fillId="24" borderId="2" xfId="7" applyNumberFormat="1" applyFont="1" applyFill="1" applyBorder="1" applyAlignment="1">
      <alignment horizontal="center" vertical="center" wrapText="1"/>
    </xf>
    <xf numFmtId="49" fontId="88" fillId="24" borderId="33" xfId="7" applyNumberFormat="1" applyFont="1" applyFill="1" applyBorder="1" applyAlignment="1">
      <alignment horizontal="center" vertical="center" wrapText="1"/>
    </xf>
    <xf numFmtId="49" fontId="73" fillId="24" borderId="0" xfId="7" applyNumberFormat="1" applyFont="1" applyFill="1" applyAlignment="1">
      <alignment horizontal="left" vertical="center" wrapText="1"/>
    </xf>
    <xf numFmtId="4" fontId="73" fillId="29" borderId="2" xfId="7" applyNumberFormat="1" applyFont="1" applyFill="1" applyBorder="1" applyAlignment="1">
      <alignment horizontal="center"/>
    </xf>
    <xf numFmtId="4" fontId="73" fillId="29" borderId="34" xfId="7" applyNumberFormat="1" applyFont="1" applyFill="1" applyBorder="1" applyAlignment="1">
      <alignment horizontal="center"/>
    </xf>
    <xf numFmtId="49" fontId="73" fillId="24" borderId="0" xfId="7" applyNumberFormat="1" applyFont="1" applyFill="1" applyAlignment="1">
      <alignment horizontal="center" vertical="center"/>
    </xf>
    <xf numFmtId="49" fontId="88" fillId="24" borderId="0" xfId="7" applyNumberFormat="1" applyFont="1" applyFill="1" applyAlignment="1">
      <alignment horizontal="center" vertical="center"/>
    </xf>
    <xf numFmtId="49" fontId="88" fillId="24" borderId="24" xfId="7" applyNumberFormat="1" applyFont="1" applyFill="1" applyBorder="1" applyAlignment="1">
      <alignment horizontal="center" vertical="center"/>
    </xf>
    <xf numFmtId="49" fontId="88" fillId="24" borderId="2" xfId="7" applyNumberFormat="1" applyFont="1" applyFill="1" applyBorder="1" applyAlignment="1">
      <alignment horizontal="center" vertical="center"/>
    </xf>
    <xf numFmtId="49" fontId="88" fillId="24" borderId="33" xfId="7" applyNumberFormat="1" applyFont="1" applyFill="1" applyBorder="1" applyAlignment="1">
      <alignment horizontal="center" vertical="center"/>
    </xf>
    <xf numFmtId="3" fontId="73" fillId="33" borderId="29" xfId="7" applyNumberFormat="1" applyFont="1" applyFill="1" applyBorder="1" applyAlignment="1">
      <alignment horizontal="center"/>
    </xf>
    <xf numFmtId="0" fontId="34" fillId="0" borderId="2" xfId="34" applyFont="1" applyBorder="1" applyAlignment="1">
      <alignment horizontal="center"/>
    </xf>
    <xf numFmtId="0" fontId="34" fillId="0" borderId="0" xfId="34" applyFont="1" applyAlignment="1">
      <alignment horizontal="center"/>
    </xf>
    <xf numFmtId="15" fontId="34" fillId="0" borderId="0" xfId="34" applyNumberFormat="1" applyFont="1" applyAlignment="1">
      <alignment horizontal="center"/>
    </xf>
    <xf numFmtId="0" fontId="9" fillId="0" borderId="0" xfId="34" applyFont="1" applyAlignment="1">
      <alignment horizontal="center"/>
    </xf>
    <xf numFmtId="0" fontId="5" fillId="0" borderId="0" xfId="34" applyAlignment="1">
      <alignment horizontal="center" wrapText="1"/>
    </xf>
    <xf numFmtId="0" fontId="34" fillId="0" borderId="0" xfId="27" applyFont="1" applyAlignment="1">
      <alignment horizontal="center"/>
    </xf>
    <xf numFmtId="0" fontId="111" fillId="40" borderId="52" xfId="0" applyFont="1" applyFill="1" applyBorder="1" applyAlignment="1">
      <alignment horizontal="center"/>
    </xf>
    <xf numFmtId="0" fontId="111" fillId="40" borderId="51" xfId="0" applyFont="1" applyFill="1" applyBorder="1" applyAlignment="1">
      <alignment horizontal="center"/>
    </xf>
    <xf numFmtId="0" fontId="94" fillId="39" borderId="0" xfId="0" applyFont="1" applyFill="1" applyAlignment="1">
      <alignment horizontal="left" vertical="center"/>
    </xf>
    <xf numFmtId="0" fontId="94" fillId="39" borderId="1" xfId="0" applyFont="1" applyFill="1" applyBorder="1" applyAlignment="1">
      <alignment horizontal="left" vertical="center"/>
    </xf>
    <xf numFmtId="0" fontId="101" fillId="40" borderId="4" xfId="0" applyFont="1" applyFill="1" applyBorder="1" applyAlignment="1">
      <alignment horizontal="center" vertical="center"/>
    </xf>
    <xf numFmtId="0" fontId="101" fillId="40" borderId="9" xfId="0" applyFont="1" applyFill="1" applyBorder="1" applyAlignment="1">
      <alignment horizontal="center" vertical="center"/>
    </xf>
    <xf numFmtId="0" fontId="101" fillId="40" borderId="5" xfId="0" applyFont="1" applyFill="1" applyBorder="1" applyAlignment="1">
      <alignment horizontal="center" vertical="center" wrapText="1"/>
    </xf>
    <xf numFmtId="0" fontId="101" fillId="40" borderId="0" xfId="0" applyFont="1" applyFill="1" applyAlignment="1">
      <alignment horizontal="center" vertical="center" wrapText="1"/>
    </xf>
    <xf numFmtId="0" fontId="101" fillId="40" borderId="5" xfId="0" applyFont="1" applyFill="1" applyBorder="1" applyAlignment="1">
      <alignment horizontal="center" vertical="center"/>
    </xf>
    <xf numFmtId="0" fontId="101" fillId="40" borderId="0" xfId="0" applyFont="1" applyFill="1" applyAlignment="1">
      <alignment horizontal="center" vertical="center"/>
    </xf>
    <xf numFmtId="0" fontId="101" fillId="40" borderId="6" xfId="0" applyFont="1" applyFill="1" applyBorder="1" applyAlignment="1">
      <alignment horizontal="center" vertical="center"/>
    </xf>
    <xf numFmtId="1" fontId="122" fillId="2" borderId="1" xfId="40" applyNumberFormat="1" applyFont="1" applyFill="1" applyBorder="1" applyAlignment="1">
      <alignment horizontal="center"/>
    </xf>
    <xf numFmtId="0" fontId="34" fillId="5" borderId="0" xfId="40" applyFont="1" applyFill="1" applyAlignment="1">
      <alignment horizontal="center"/>
    </xf>
    <xf numFmtId="0" fontId="41" fillId="13" borderId="0" xfId="8" applyFont="1" applyFill="1" applyAlignment="1" applyProtection="1">
      <alignment horizontal="left"/>
      <protection hidden="1"/>
    </xf>
    <xf numFmtId="0" fontId="41" fillId="13" borderId="18" xfId="8" applyFont="1" applyFill="1" applyBorder="1" applyAlignment="1" applyProtection="1">
      <alignment horizontal="left"/>
      <protection hidden="1"/>
    </xf>
    <xf numFmtId="0" fontId="58" fillId="3" borderId="1" xfId="0" applyFont="1" applyFill="1" applyBorder="1" applyAlignment="1">
      <alignment horizontal="left" vertical="center"/>
    </xf>
    <xf numFmtId="0" fontId="12" fillId="2" borderId="33" xfId="0" applyFont="1" applyFill="1" applyBorder="1" applyAlignment="1">
      <alignment horizontal="center"/>
    </xf>
    <xf numFmtId="0" fontId="11" fillId="4" borderId="3" xfId="0" applyFont="1" applyFill="1" applyBorder="1" applyAlignment="1">
      <alignment horizontal="center" vertical="center"/>
    </xf>
    <xf numFmtId="0" fontId="11" fillId="4" borderId="0" xfId="0" applyFont="1" applyFill="1" applyAlignment="1">
      <alignment horizontal="center" vertical="center"/>
    </xf>
    <xf numFmtId="0" fontId="10" fillId="2" borderId="3" xfId="0" applyFont="1" applyFill="1" applyBorder="1" applyAlignment="1">
      <alignment horizontal="center" vertical="center" wrapText="1"/>
    </xf>
    <xf numFmtId="0" fontId="10" fillId="2" borderId="0" xfId="0" applyFont="1" applyFill="1" applyAlignment="1">
      <alignment horizontal="left" vertical="center" wrapText="1"/>
    </xf>
    <xf numFmtId="0" fontId="11" fillId="16" borderId="0" xfId="0" applyFont="1" applyFill="1" applyAlignment="1">
      <alignment horizontal="center" vertical="center"/>
    </xf>
    <xf numFmtId="0" fontId="10" fillId="0" borderId="0" xfId="0" applyFont="1" applyAlignment="1">
      <alignment horizontal="left" vertical="center" wrapText="1"/>
    </xf>
    <xf numFmtId="0" fontId="11" fillId="19" borderId="0" xfId="0" applyFont="1" applyFill="1" applyAlignment="1">
      <alignment horizontal="center" vertical="center"/>
    </xf>
    <xf numFmtId="0" fontId="10" fillId="20" borderId="0" xfId="0" applyFont="1" applyFill="1" applyAlignment="1">
      <alignment horizontal="left" vertical="center" wrapText="1"/>
    </xf>
    <xf numFmtId="0" fontId="1" fillId="0" borderId="0" xfId="66" applyAlignment="1">
      <alignment horizontal="center"/>
    </xf>
    <xf numFmtId="0" fontId="133" fillId="0" borderId="0" xfId="26" applyFont="1" applyAlignment="1">
      <alignment horizontal="center" vertical="center" wrapText="1"/>
    </xf>
  </cellXfs>
  <cellStyles count="70">
    <cellStyle name="Collegamento ipertestuale" xfId="18" builtinId="8"/>
    <cellStyle name="Collegamento ipertestuale 2" xfId="3" xr:uid="{788F6E8B-AC8B-B745-893F-90B56CD76297}"/>
    <cellStyle name="Comma [0] 2" xfId="15" xr:uid="{0ACF558C-6EBD-9344-9151-EAC5C81ED7C9}"/>
    <cellStyle name="Comma [0] 2 2" xfId="43" xr:uid="{6CD1A934-866F-4CD5-91A1-AA7F58409B43}"/>
    <cellStyle name="Comma [0] 3" xfId="16" xr:uid="{B4A62D15-D1C7-7248-B0CD-A56E5F471F93}"/>
    <cellStyle name="Comma [0] 3 2" xfId="44" xr:uid="{C4FC2E62-DDB0-40E1-B4CF-1042A502D432}"/>
    <cellStyle name="Comma [0] 3 2 2" xfId="60" xr:uid="{65D3918E-5F31-410C-989B-128319E17343}"/>
    <cellStyle name="Comma 2" xfId="47" xr:uid="{ECD91202-8DD9-42C6-91C3-5F28E5115ACA}"/>
    <cellStyle name="Comma 3" xfId="58" xr:uid="{FCE21FE9-3446-4015-B5C1-3BFF672B8A79}"/>
    <cellStyle name="Comma 4" xfId="69" xr:uid="{96C48F9A-0B2D-437E-978C-92CAAD17351E}"/>
    <cellStyle name="Migliaia" xfId="22" builtinId="3"/>
    <cellStyle name="Normal 2" xfId="61" xr:uid="{85253497-D722-424B-B1BB-661DD9FA38E8}"/>
    <cellStyle name="Normal 2 102" xfId="8" xr:uid="{EE760C71-C0A3-614B-8444-BDB9CA5ACB85}"/>
    <cellStyle name="Normal 2 102 2" xfId="40" xr:uid="{34124163-F6C2-4A0D-A1C2-12926BB30FC3}"/>
    <cellStyle name="Normal 2 177" xfId="9" xr:uid="{5BDE85C6-0C60-444C-BF4C-BA6AE1765C25}"/>
    <cellStyle name="Normal 29" xfId="11" xr:uid="{15F6247D-8BBE-974E-A1A5-F8C683746B93}"/>
    <cellStyle name="Normal 3" xfId="66" xr:uid="{9BA974E4-A217-4E23-9B60-3EFA23D6559B}"/>
    <cellStyle name="Normal 3 2" xfId="6" xr:uid="{02AFA57E-CA34-3540-BB64-0297D8529399}"/>
    <cellStyle name="Normal 3 2 2" xfId="38" xr:uid="{4599C11C-1888-4590-AE8C-83F1BC56C2B2}"/>
    <cellStyle name="Normal 5" xfId="7" xr:uid="{0C4605FB-9481-A647-BF70-7746B29EF551}"/>
    <cellStyle name="Normal 5 2" xfId="39" xr:uid="{3F595513-1437-4306-8DD2-2671F425AE93}"/>
    <cellStyle name="Normal 5 3" xfId="62" xr:uid="{5650238B-826F-41D8-BBBE-0219C2DE890D}"/>
    <cellStyle name="Normal_Estado de Resultados USA GAAP 200309 Final_FECU_fuel" xfId="10" xr:uid="{61FA312A-F4E5-7146-BDC2-CC1F14EB10D6}"/>
    <cellStyle name="Normale" xfId="0" builtinId="0"/>
    <cellStyle name="Normale 2" xfId="4" xr:uid="{284FD011-1AB8-2D4C-A81E-C2DB87A940D6}"/>
    <cellStyle name="Normale 2 2" xfId="20" xr:uid="{17D01457-4EA9-4908-9BC5-55D0707503EA}"/>
    <cellStyle name="Normale 2 3" xfId="26" xr:uid="{1D163180-70B7-489B-8595-E2DA33711E9E}"/>
    <cellStyle name="Normale 2 4" xfId="36" xr:uid="{1FD615DC-2491-44FF-B67B-A5E7A995C4FF}"/>
    <cellStyle name="Normale 2 5" xfId="65" xr:uid="{F4494D19-BE59-4D85-B326-FDBC2F2897CD}"/>
    <cellStyle name="Normale 3" xfId="2" xr:uid="{E3382E9E-17D9-EA42-9267-DC199F5E5209}"/>
    <cellStyle name="Normale 4" xfId="19" xr:uid="{A6001B4B-7C11-4912-B9AA-BC2CDFDC11A2}"/>
    <cellStyle name="Normale 4 2" xfId="45" xr:uid="{C36CC6C8-F005-450D-A58E-9F4C37118CCC}"/>
    <cellStyle name="Normale 5" xfId="24" xr:uid="{4AC9F639-71AC-4396-92FF-8DD7E01974E4}"/>
    <cellStyle name="Normale 5 2" xfId="48" xr:uid="{65FB1249-F9C3-4BF7-A2C6-7FD0ACA47514}"/>
    <cellStyle name="Normale 6" xfId="27" xr:uid="{B401E208-1AEB-497E-BADD-DFC0EA6BE7C9}"/>
    <cellStyle name="Normale 6 2" xfId="31" xr:uid="{73B9F600-7B41-4ED2-816C-7AC88EF8BB5F}"/>
    <cellStyle name="Normale 6 2 2" xfId="54" xr:uid="{6D440B64-294C-4E20-B387-1A8EAC727032}"/>
    <cellStyle name="Normale 6 3" xfId="34" xr:uid="{B61F0C60-A318-449A-800E-C297E95EF2B7}"/>
    <cellStyle name="Normale 6 3 2" xfId="56" xr:uid="{D24F94E7-476C-4AFC-878C-BCBB294B423D}"/>
    <cellStyle name="Normale 6 3 3" xfId="68" xr:uid="{989ACEC6-56BF-453C-8758-42C5CF9BBF4B}"/>
    <cellStyle name="Normale 6 4" xfId="50" xr:uid="{2BA569AA-670B-43AE-AF63-CE1BBE9E1789}"/>
    <cellStyle name="Normale 7" xfId="29" xr:uid="{01BBA471-FE11-49AB-8CD0-FCB3F38A1946}"/>
    <cellStyle name="Normale 7 2" xfId="52" xr:uid="{B28D72BB-4468-43B1-B6F2-6019172F65AB}"/>
    <cellStyle name="Normale 8" xfId="30" xr:uid="{1402F825-31A0-4D03-A203-9EF30E204E98}"/>
    <cellStyle name="Normale 8 2" xfId="53" xr:uid="{2711B9AF-B1F0-42C6-B097-25225C43E3B7}"/>
    <cellStyle name="Normale 9" xfId="63" xr:uid="{F03D45C9-8F6C-44AB-995D-D71025B0E5EF}"/>
    <cellStyle name="Percent 2" xfId="12" xr:uid="{EC0869B4-B843-294D-B55D-91436F689A74}"/>
    <cellStyle name="Percent 2 2" xfId="41" xr:uid="{156F9EA6-F537-4DF4-914A-AE5EB5FEF80C}"/>
    <cellStyle name="Percent 3" xfId="17" xr:uid="{95C63AF8-0F9B-0B49-B396-DD9B714BA90F}"/>
    <cellStyle name="Percent 4" xfId="59" xr:uid="{AFC89937-A452-426A-86F4-90CC7B68002B}"/>
    <cellStyle name="Percent 5" xfId="67" xr:uid="{075CE661-C915-4E96-A0E1-F68D7798605C}"/>
    <cellStyle name="Percentuale" xfId="1" builtinId="5"/>
    <cellStyle name="Percentuale 2" xfId="5" xr:uid="{A4E6965F-4B3C-5247-8BB6-7F83CAB86B50}"/>
    <cellStyle name="Percentuale 2 2" xfId="33" xr:uid="{87C03FD4-5622-4B16-8C3E-7D85879DC9BE}"/>
    <cellStyle name="Percentuale 2 3" xfId="37" xr:uid="{6E4D4930-792A-4757-9841-978A461D5651}"/>
    <cellStyle name="Percentuale 3" xfId="21" xr:uid="{74A5FD02-E92F-4043-846C-04D4F1144F18}"/>
    <cellStyle name="Percentuale 3 2" xfId="46" xr:uid="{962180A3-DC86-4356-BA40-4BB94E5C8712}"/>
    <cellStyle name="Percentuale 4" xfId="25" xr:uid="{9E2EAC32-3CAF-4651-8317-960D0E21D86B}"/>
    <cellStyle name="Percentuale 4 2" xfId="49" xr:uid="{DB9F52DC-2523-4921-8A22-D58E17B3B9AA}"/>
    <cellStyle name="Percentuale 5" xfId="28" xr:uid="{1C12EBE0-569F-4397-A3F3-BB4852C9583A}"/>
    <cellStyle name="Percentuale 5 2" xfId="32" xr:uid="{5201E188-E703-47AB-BAF5-D0B9C14A9088}"/>
    <cellStyle name="Percentuale 5 2 2" xfId="55" xr:uid="{A905C5A0-928A-42BD-A9AB-C18F7075872F}"/>
    <cellStyle name="Percentuale 5 3" xfId="35" xr:uid="{568CD934-5075-433C-A6FF-271C7A624C97}"/>
    <cellStyle name="Percentuale 5 3 2" xfId="57" xr:uid="{840C53CD-C5B8-4D48-B6FA-42AA06F615F8}"/>
    <cellStyle name="Percentuale 5 4" xfId="51" xr:uid="{98E8A53E-3C7B-4F97-A250-89735A21E642}"/>
    <cellStyle name="Percentuale 6" xfId="64" xr:uid="{EDDE3B55-8285-45FA-BECA-A01A3FF3206F}"/>
    <cellStyle name="Porcentaje 2 3" xfId="13" xr:uid="{B4210837-EEB3-8C48-9058-19DB63575909}"/>
    <cellStyle name="Porcentaje 2 3 2" xfId="42" xr:uid="{B0173EC8-FDC5-405F-8694-47C51E02F897}"/>
    <cellStyle name="Porcentaje 2 8" xfId="14" xr:uid="{9539D12D-8F79-934F-8738-61B0B702C70C}"/>
    <cellStyle name="Valuta" xfId="23" builtinId="4"/>
  </cellStyles>
  <dxfs count="2">
    <dxf>
      <fill>
        <patternFill>
          <bgColor rgb="FF00B050"/>
        </patternFill>
      </fill>
    </dxf>
    <dxf>
      <fill>
        <patternFill>
          <bgColor rgb="FF00B050"/>
        </patternFill>
      </fill>
    </dxf>
  </dxfs>
  <tableStyles count="0" defaultTableStyle="TableStyleMedium2" defaultPivotStyle="PivotStyleLight16"/>
  <colors>
    <mruColors>
      <color rgb="FF1F177D"/>
      <color rgb="FFF3F3F8"/>
      <color rgb="FFEB1453"/>
      <color rgb="FFFF577A"/>
      <color rgb="FFFF5050"/>
      <color rgb="FFFF4BA5"/>
      <color rgb="FFF2F2F2"/>
      <color rgb="FF757171"/>
      <color rgb="FFFF1D8E"/>
      <color rgb="FF7F7C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47" Type="http://schemas.openxmlformats.org/officeDocument/2006/relationships/theme" Target="theme/theme1.xml"/><Relationship Id="rId50"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3.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2.xml"/><Relationship Id="rId48" Type="http://schemas.openxmlformats.org/officeDocument/2006/relationships/styles" Target="styles.xml"/><Relationship Id="rId8" Type="http://schemas.openxmlformats.org/officeDocument/2006/relationships/worksheet" Target="worksheets/sheet8.xml"/><Relationship Id="rId51"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5.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9.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30.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31.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32.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3.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4.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6.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7.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8.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9.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40.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41.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42.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44.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45.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6.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7.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8.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9.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50.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51.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52.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53.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54.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RPKs</a:t>
            </a:r>
            <a:r>
              <a:rPr lang="en-US" baseline="0"/>
              <a:t> </a:t>
            </a:r>
            <a:r>
              <a:rPr lang="en-US"/>
              <a:t>Brazil</a:t>
            </a:r>
            <a:r>
              <a:rPr lang="en-US" baseline="0"/>
              <a:t> </a:t>
            </a:r>
            <a:endParaRPr lang="en-US"/>
          </a:p>
        </c:rich>
      </c:tx>
      <c:overlay val="0"/>
      <c:spPr>
        <a:noFill/>
        <a:ln>
          <a:noFill/>
        </a:ln>
        <a:effectLst/>
      </c:spPr>
    </c:title>
    <c:autoTitleDeleted val="0"/>
    <c:plotArea>
      <c:layout/>
      <c:lineChart>
        <c:grouping val="standard"/>
        <c:varyColors val="0"/>
        <c:ser>
          <c:idx val="1"/>
          <c:order val="0"/>
          <c:tx>
            <c:strRef>
              <c:f>'Domestic, Brazil estimate'!$B$33</c:f>
              <c:strCache>
                <c:ptCount val="1"/>
                <c:pt idx="0">
                  <c:v>RPKs</c:v>
                </c:pt>
              </c:strCache>
            </c:strRef>
          </c:tx>
          <c:marker>
            <c:symbol val="none"/>
          </c:marker>
          <c:dPt>
            <c:idx val="23"/>
            <c:bubble3D val="0"/>
            <c:spPr>
              <a:ln w="28575" cap="rnd">
                <a:solidFill>
                  <a:srgbClr val="1F177D"/>
                </a:solidFill>
                <a:round/>
              </a:ln>
              <a:effectLst/>
            </c:spPr>
            <c:extLst>
              <c:ext xmlns:c16="http://schemas.microsoft.com/office/drawing/2014/chart" uri="{C3380CC4-5D6E-409C-BE32-E72D297353CC}">
                <c16:uniqueId val="{00000017-5ED2-044E-AFB8-FC6857149BC1}"/>
              </c:ext>
            </c:extLst>
          </c:dPt>
          <c:dPt>
            <c:idx val="24"/>
            <c:bubble3D val="0"/>
            <c:spPr>
              <a:ln w="28575" cap="rnd">
                <a:solidFill>
                  <a:srgbClr val="1F177D"/>
                </a:solidFill>
                <a:round/>
              </a:ln>
              <a:effectLst/>
            </c:spPr>
            <c:extLst>
              <c:ext xmlns:c16="http://schemas.microsoft.com/office/drawing/2014/chart" uri="{C3380CC4-5D6E-409C-BE32-E72D297353CC}">
                <c16:uniqueId val="{00000018-5ED2-044E-AFB8-FC6857149BC1}"/>
              </c:ext>
            </c:extLst>
          </c:dPt>
          <c:dPt>
            <c:idx val="25"/>
            <c:bubble3D val="0"/>
            <c:spPr>
              <a:ln w="28575" cap="rnd">
                <a:solidFill>
                  <a:srgbClr val="1F177D"/>
                </a:solidFill>
                <a:round/>
              </a:ln>
              <a:effectLst/>
            </c:spPr>
            <c:extLst>
              <c:ext xmlns:c16="http://schemas.microsoft.com/office/drawing/2014/chart" uri="{C3380CC4-5D6E-409C-BE32-E72D297353CC}">
                <c16:uniqueId val="{00000019-5ED2-044E-AFB8-FC6857149BC1}"/>
              </c:ext>
            </c:extLst>
          </c:dPt>
          <c:dPt>
            <c:idx val="26"/>
            <c:bubble3D val="0"/>
            <c:spPr>
              <a:ln w="28575" cap="rnd">
                <a:solidFill>
                  <a:srgbClr val="1F177D"/>
                </a:solidFill>
                <a:round/>
              </a:ln>
              <a:effectLst/>
            </c:spPr>
            <c:extLst>
              <c:ext xmlns:c16="http://schemas.microsoft.com/office/drawing/2014/chart" uri="{C3380CC4-5D6E-409C-BE32-E72D297353CC}">
                <c16:uniqueId val="{0000001A-5ED2-044E-AFB8-FC6857149BC1}"/>
              </c:ext>
            </c:extLst>
          </c:dPt>
          <c:dPt>
            <c:idx val="27"/>
            <c:bubble3D val="0"/>
            <c:spPr>
              <a:ln w="28575" cap="rnd">
                <a:solidFill>
                  <a:srgbClr val="1F177D"/>
                </a:solidFill>
                <a:round/>
              </a:ln>
              <a:effectLst/>
            </c:spPr>
            <c:extLst>
              <c:ext xmlns:c16="http://schemas.microsoft.com/office/drawing/2014/chart" uri="{C3380CC4-5D6E-409C-BE32-E72D297353CC}">
                <c16:uniqueId val="{0000001B-5ED2-044E-AFB8-FC6857149BC1}"/>
              </c:ext>
            </c:extLst>
          </c:dPt>
          <c:cat>
            <c:numRef>
              <c:f>'Domestic, Brazil estimate'!$A$34:$A$61</c:f>
              <c:numCache>
                <c:formatCode>General</c:formatCode>
                <c:ptCount val="28"/>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numCache>
            </c:numRef>
          </c:cat>
          <c:val>
            <c:numRef>
              <c:f>'Domestic, Brazil estimate'!$B$34:$B$61</c:f>
              <c:numCache>
                <c:formatCode>#,##0</c:formatCode>
                <c:ptCount val="28"/>
                <c:pt idx="0">
                  <c:v>25219968079</c:v>
                </c:pt>
                <c:pt idx="1">
                  <c:v>27336355492</c:v>
                </c:pt>
                <c:pt idx="2">
                  <c:v>26704516044</c:v>
                </c:pt>
                <c:pt idx="3">
                  <c:v>26099852761</c:v>
                </c:pt>
                <c:pt idx="4">
                  <c:v>28881235043</c:v>
                </c:pt>
                <c:pt idx="5">
                  <c:v>35252145026</c:v>
                </c:pt>
                <c:pt idx="6">
                  <c:v>40441366277</c:v>
                </c:pt>
                <c:pt idx="7">
                  <c:v>45470884457</c:v>
                </c:pt>
                <c:pt idx="8">
                  <c:v>49046278775</c:v>
                </c:pt>
                <c:pt idx="9">
                  <c:v>57194653909</c:v>
                </c:pt>
                <c:pt idx="10">
                  <c:v>69862011045</c:v>
                </c:pt>
                <c:pt idx="11">
                  <c:v>81103599006</c:v>
                </c:pt>
                <c:pt idx="12">
                  <c:v>86771899770</c:v>
                </c:pt>
                <c:pt idx="13">
                  <c:v>87739855137</c:v>
                </c:pt>
                <c:pt idx="14">
                  <c:v>93183426748</c:v>
                </c:pt>
                <c:pt idx="15">
                  <c:v>94279579222</c:v>
                </c:pt>
                <c:pt idx="16">
                  <c:v>88893631324</c:v>
                </c:pt>
                <c:pt idx="17">
                  <c:v>91857637947</c:v>
                </c:pt>
                <c:pt idx="18">
                  <c:v>95870486759</c:v>
                </c:pt>
                <c:pt idx="19">
                  <c:v>96449372986</c:v>
                </c:pt>
                <c:pt idx="20">
                  <c:v>48695532564</c:v>
                </c:pt>
                <c:pt idx="21">
                  <c:v>66373162099</c:v>
                </c:pt>
                <c:pt idx="22" formatCode="General">
                  <c:v>96237179239.518707</c:v>
                </c:pt>
                <c:pt idx="23" formatCode="General">
                  <c:v>99065544511.813965</c:v>
                </c:pt>
                <c:pt idx="24">
                  <c:v>107285220818.03784</c:v>
                </c:pt>
                <c:pt idx="25">
                  <c:v>112622271264.76328</c:v>
                </c:pt>
                <c:pt idx="26">
                  <c:v>116772534133.71852</c:v>
                </c:pt>
                <c:pt idx="27">
                  <c:v>121075739060.1198</c:v>
                </c:pt>
              </c:numCache>
            </c:numRef>
          </c:val>
          <c:smooth val="0"/>
          <c:extLst>
            <c:ext xmlns:c16="http://schemas.microsoft.com/office/drawing/2014/chart" uri="{C3380CC4-5D6E-409C-BE32-E72D297353CC}">
              <c16:uniqueId val="{00000016-5ED2-044E-AFB8-FC6857149BC1}"/>
            </c:ext>
          </c:extLst>
        </c:ser>
        <c:ser>
          <c:idx val="0"/>
          <c:order val="1"/>
          <c:tx>
            <c:strRef>
              <c:f>'Domestic, Brazil estimate'!$B$33</c:f>
              <c:strCache>
                <c:ptCount val="1"/>
                <c:pt idx="0">
                  <c:v>RPKs</c:v>
                </c:pt>
              </c:strCache>
            </c:strRef>
          </c:tx>
          <c:spPr>
            <a:ln w="28575" cap="rnd">
              <a:solidFill>
                <a:schemeClr val="bg2">
                  <a:lumMod val="75000"/>
                </a:schemeClr>
              </a:solidFill>
              <a:round/>
            </a:ln>
            <a:effectLst/>
          </c:spPr>
          <c:marker>
            <c:symbol val="none"/>
          </c:marker>
          <c:cat>
            <c:numRef>
              <c:f>'Domestic, Brazil estimate'!$A$34:$A$61</c:f>
              <c:numCache>
                <c:formatCode>General</c:formatCode>
                <c:ptCount val="28"/>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numCache>
            </c:numRef>
          </c:cat>
          <c:val>
            <c:numRef>
              <c:f>'Domestic, Brazil estimate'!$B$34:$B$61</c:f>
              <c:numCache>
                <c:formatCode>#,##0</c:formatCode>
                <c:ptCount val="28"/>
                <c:pt idx="0">
                  <c:v>25219968079</c:v>
                </c:pt>
                <c:pt idx="1">
                  <c:v>27336355492</c:v>
                </c:pt>
                <c:pt idx="2">
                  <c:v>26704516044</c:v>
                </c:pt>
                <c:pt idx="3">
                  <c:v>26099852761</c:v>
                </c:pt>
                <c:pt idx="4">
                  <c:v>28881235043</c:v>
                </c:pt>
                <c:pt idx="5">
                  <c:v>35252145026</c:v>
                </c:pt>
                <c:pt idx="6">
                  <c:v>40441366277</c:v>
                </c:pt>
                <c:pt idx="7">
                  <c:v>45470884457</c:v>
                </c:pt>
                <c:pt idx="8">
                  <c:v>49046278775</c:v>
                </c:pt>
                <c:pt idx="9">
                  <c:v>57194653909</c:v>
                </c:pt>
                <c:pt idx="10">
                  <c:v>69862011045</c:v>
                </c:pt>
                <c:pt idx="11">
                  <c:v>81103599006</c:v>
                </c:pt>
                <c:pt idx="12">
                  <c:v>86771899770</c:v>
                </c:pt>
                <c:pt idx="13">
                  <c:v>87739855137</c:v>
                </c:pt>
                <c:pt idx="14">
                  <c:v>93183426748</c:v>
                </c:pt>
                <c:pt idx="15">
                  <c:v>94279579222</c:v>
                </c:pt>
                <c:pt idx="16">
                  <c:v>88893631324</c:v>
                </c:pt>
                <c:pt idx="17">
                  <c:v>91857637947</c:v>
                </c:pt>
                <c:pt idx="18">
                  <c:v>95870486759</c:v>
                </c:pt>
                <c:pt idx="19">
                  <c:v>96449372986</c:v>
                </c:pt>
                <c:pt idx="20">
                  <c:v>48695532564</c:v>
                </c:pt>
                <c:pt idx="21">
                  <c:v>66373162099</c:v>
                </c:pt>
                <c:pt idx="22" formatCode="General">
                  <c:v>96237179239.518707</c:v>
                </c:pt>
                <c:pt idx="23" formatCode="General">
                  <c:v>99065544511.813965</c:v>
                </c:pt>
                <c:pt idx="24">
                  <c:v>107285220818.03784</c:v>
                </c:pt>
                <c:pt idx="25">
                  <c:v>112622271264.76328</c:v>
                </c:pt>
                <c:pt idx="26">
                  <c:v>116772534133.71852</c:v>
                </c:pt>
                <c:pt idx="27">
                  <c:v>121075739060.1198</c:v>
                </c:pt>
              </c:numCache>
            </c:numRef>
          </c:val>
          <c:smooth val="0"/>
          <c:extLst>
            <c:ext xmlns:c16="http://schemas.microsoft.com/office/drawing/2014/chart" uri="{C3380CC4-5D6E-409C-BE32-E72D297353CC}">
              <c16:uniqueId val="{00000015-5ED2-044E-AFB8-FC6857149BC1}"/>
            </c:ext>
          </c:extLst>
        </c:ser>
        <c:dLbls>
          <c:showLegendKey val="0"/>
          <c:showVal val="0"/>
          <c:showCatName val="0"/>
          <c:showSerName val="0"/>
          <c:showPercent val="0"/>
          <c:showBubbleSize val="0"/>
        </c:dLbls>
        <c:smooth val="0"/>
        <c:axId val="452127680"/>
        <c:axId val="452113696"/>
      </c:lineChart>
      <c:catAx>
        <c:axId val="45212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452113696"/>
        <c:crosses val="autoZero"/>
        <c:auto val="1"/>
        <c:lblAlgn val="ctr"/>
        <c:lblOffset val="100"/>
        <c:noMultiLvlLbl val="0"/>
      </c:catAx>
      <c:valAx>
        <c:axId val="4521136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452127680"/>
        <c:crosses val="autoZero"/>
        <c:crossBetween val="between"/>
      </c:valAx>
    </c:plotArea>
    <c:plotVisOnly val="1"/>
    <c:dispBlanksAs val="gap"/>
    <c:showDLblsOverMax val="0"/>
  </c:chart>
  <c:txPr>
    <a:bodyPr/>
    <a:lstStyle/>
    <a:p>
      <a:pPr>
        <a:defRPr/>
      </a:pPr>
      <a:endParaRPr lang="it-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Market</a:t>
            </a:r>
            <a:r>
              <a:rPr lang="it-IT" baseline="0"/>
              <a:t> Shares</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stacked"/>
        <c:varyColors val="0"/>
        <c:ser>
          <c:idx val="0"/>
          <c:order val="0"/>
          <c:tx>
            <c:v>GOL+AZUL</c:v>
          </c:tx>
          <c:spPr>
            <a:solidFill>
              <a:schemeClr val="accent1"/>
            </a:solidFill>
            <a:ln>
              <a:noFill/>
            </a:ln>
            <a:effectLst/>
          </c:spPr>
          <c:invertIfNegative val="0"/>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Drivers'!$E$21:$M$21</c:f>
              <c:numCache>
                <c:formatCode>0.00%</c:formatCode>
                <c:ptCount val="9"/>
                <c:pt idx="0">
                  <c:v>0.61190547095175696</c:v>
                </c:pt>
                <c:pt idx="1">
                  <c:v>0.67056147208337979</c:v>
                </c:pt>
                <c:pt idx="2">
                  <c:v>0.68429228868522285</c:v>
                </c:pt>
                <c:pt idx="3">
                  <c:v>0.65547067622518629</c:v>
                </c:pt>
                <c:pt idx="4">
                  <c:v>0.65750202666135082</c:v>
                </c:pt>
                <c:pt idx="5">
                  <c:v>0.66167287847553735</c:v>
                </c:pt>
                <c:pt idx="6">
                  <c:v>0.66335940016633976</c:v>
                </c:pt>
                <c:pt idx="7">
                  <c:v>0.66456434016831023</c:v>
                </c:pt>
                <c:pt idx="8">
                  <c:v>0.66572645487932869</c:v>
                </c:pt>
              </c:numCache>
            </c:numRef>
          </c:val>
          <c:extLst>
            <c:ext xmlns:c16="http://schemas.microsoft.com/office/drawing/2014/chart" uri="{C3380CC4-5D6E-409C-BE32-E72D297353CC}">
              <c16:uniqueId val="{00000000-5E0C-0B4C-A081-C9A511ED97A9}"/>
            </c:ext>
          </c:extLst>
        </c:ser>
        <c:ser>
          <c:idx val="1"/>
          <c:order val="1"/>
          <c:tx>
            <c:v>LATAM</c:v>
          </c:tx>
          <c:spPr>
            <a:solidFill>
              <a:schemeClr val="accent2"/>
            </a:solidFill>
            <a:ln>
              <a:noFill/>
            </a:ln>
            <a:effectLst/>
          </c:spPr>
          <c:invertIfNegative val="0"/>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Drivers'!$E$22:$M$22</c:f>
              <c:numCache>
                <c:formatCode>0.00%</c:formatCode>
                <c:ptCount val="9"/>
                <c:pt idx="0">
                  <c:v>0.34715697949493357</c:v>
                </c:pt>
                <c:pt idx="1">
                  <c:v>0.32492315345776157</c:v>
                </c:pt>
                <c:pt idx="2">
                  <c:v>0.30506081614431718</c:v>
                </c:pt>
                <c:pt idx="3">
                  <c:v>0.34050995244764731</c:v>
                </c:pt>
                <c:pt idx="4">
                  <c:v>0.3383078524079946</c:v>
                </c:pt>
                <c:pt idx="5">
                  <c:v>0.33215957211078689</c:v>
                </c:pt>
                <c:pt idx="6">
                  <c:v>0.32839587689688216</c:v>
                </c:pt>
                <c:pt idx="7">
                  <c:v>0.32570689463048674</c:v>
                </c:pt>
                <c:pt idx="8">
                  <c:v>0.32311348263956979</c:v>
                </c:pt>
              </c:numCache>
            </c:numRef>
          </c:val>
          <c:extLst>
            <c:ext xmlns:c16="http://schemas.microsoft.com/office/drawing/2014/chart" uri="{C3380CC4-5D6E-409C-BE32-E72D297353CC}">
              <c16:uniqueId val="{00000001-5E0C-0B4C-A081-C9A511ED97A9}"/>
            </c:ext>
          </c:extLst>
        </c:ser>
        <c:ser>
          <c:idx val="2"/>
          <c:order val="2"/>
          <c:tx>
            <c:v>Others</c:v>
          </c:tx>
          <c:spPr>
            <a:solidFill>
              <a:schemeClr val="accent3"/>
            </a:solidFill>
            <a:ln>
              <a:noFill/>
            </a:ln>
            <a:effectLst/>
          </c:spPr>
          <c:invertIfNegative val="0"/>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Drivers'!$E$23:$M$23</c:f>
              <c:numCache>
                <c:formatCode>0.00%</c:formatCode>
                <c:ptCount val="9"/>
                <c:pt idx="0">
                  <c:v>4.0937549553309457E-2</c:v>
                </c:pt>
                <c:pt idx="1">
                  <c:v>4.5153744588586038E-3</c:v>
                </c:pt>
                <c:pt idx="2">
                  <c:v>1.0646895170459964E-2</c:v>
                </c:pt>
                <c:pt idx="3">
                  <c:v>4.0193713271663989E-3</c:v>
                </c:pt>
                <c:pt idx="4">
                  <c:v>4.1901209306546092E-3</c:v>
                </c:pt>
                <c:pt idx="5">
                  <c:v>6.167549413675759E-3</c:v>
                </c:pt>
                <c:pt idx="6">
                  <c:v>8.2447229367780712E-3</c:v>
                </c:pt>
                <c:pt idx="7">
                  <c:v>9.7287652012028915E-3</c:v>
                </c:pt>
                <c:pt idx="8">
                  <c:v>1.116006248110136E-2</c:v>
                </c:pt>
              </c:numCache>
            </c:numRef>
          </c:val>
          <c:extLst>
            <c:ext xmlns:c16="http://schemas.microsoft.com/office/drawing/2014/chart" uri="{C3380CC4-5D6E-409C-BE32-E72D297353CC}">
              <c16:uniqueId val="{00000002-5E0C-0B4C-A081-C9A511ED97A9}"/>
            </c:ext>
          </c:extLst>
        </c:ser>
        <c:dLbls>
          <c:showLegendKey val="0"/>
          <c:showVal val="0"/>
          <c:showCatName val="0"/>
          <c:showSerName val="0"/>
          <c:showPercent val="0"/>
          <c:showBubbleSize val="0"/>
        </c:dLbls>
        <c:gapWidth val="150"/>
        <c:overlap val="100"/>
        <c:axId val="859197951"/>
        <c:axId val="859135663"/>
      </c:barChart>
      <c:catAx>
        <c:axId val="85919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859135663"/>
        <c:crosses val="autoZero"/>
        <c:auto val="1"/>
        <c:lblAlgn val="ctr"/>
        <c:lblOffset val="100"/>
        <c:noMultiLvlLbl val="0"/>
      </c:catAx>
      <c:valAx>
        <c:axId val="8591356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859197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Latam</a:t>
            </a:r>
            <a:r>
              <a:rPr lang="it-IT" baseline="0"/>
              <a:t> Market Share</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spPr>
            <a:ln w="28575" cap="rnd">
              <a:solidFill>
                <a:schemeClr val="accent1"/>
              </a:solidFill>
              <a:round/>
            </a:ln>
            <a:effectLst/>
          </c:spPr>
          <c:marker>
            <c:symbol val="none"/>
          </c:marker>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Drivers'!$E$22:$M$22</c:f>
              <c:numCache>
                <c:formatCode>0.00%</c:formatCode>
                <c:ptCount val="9"/>
                <c:pt idx="0">
                  <c:v>0.34715697949493357</c:v>
                </c:pt>
                <c:pt idx="1">
                  <c:v>0.32492315345776157</c:v>
                </c:pt>
                <c:pt idx="2">
                  <c:v>0.30506081614431718</c:v>
                </c:pt>
                <c:pt idx="3">
                  <c:v>0.34050995244764731</c:v>
                </c:pt>
                <c:pt idx="4">
                  <c:v>0.3383078524079946</c:v>
                </c:pt>
                <c:pt idx="5">
                  <c:v>0.33215957211078689</c:v>
                </c:pt>
                <c:pt idx="6">
                  <c:v>0.32839587689688216</c:v>
                </c:pt>
                <c:pt idx="7">
                  <c:v>0.32570689463048674</c:v>
                </c:pt>
                <c:pt idx="8">
                  <c:v>0.32311348263956979</c:v>
                </c:pt>
              </c:numCache>
            </c:numRef>
          </c:val>
          <c:smooth val="0"/>
          <c:extLst>
            <c:ext xmlns:c16="http://schemas.microsoft.com/office/drawing/2014/chart" uri="{C3380CC4-5D6E-409C-BE32-E72D297353CC}">
              <c16:uniqueId val="{00000000-6694-EA4E-B626-C0DD8B1D9ADF}"/>
            </c:ext>
          </c:extLst>
        </c:ser>
        <c:dLbls>
          <c:showLegendKey val="0"/>
          <c:showVal val="0"/>
          <c:showCatName val="0"/>
          <c:showSerName val="0"/>
          <c:showPercent val="0"/>
          <c:showBubbleSize val="0"/>
        </c:dLbls>
        <c:smooth val="0"/>
        <c:axId val="798947328"/>
        <c:axId val="798337824"/>
      </c:lineChart>
      <c:catAx>
        <c:axId val="79894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798337824"/>
        <c:crosses val="autoZero"/>
        <c:auto val="1"/>
        <c:lblAlgn val="ctr"/>
        <c:lblOffset val="100"/>
        <c:noMultiLvlLbl val="0"/>
      </c:catAx>
      <c:valAx>
        <c:axId val="7983378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798947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Nominal</a:t>
            </a:r>
            <a:r>
              <a:rPr lang="it-IT" baseline="0"/>
              <a:t> - Real yield per RPK</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tx>
            <c:v>Nominal yield</c:v>
          </c:tx>
          <c:spPr>
            <a:ln w="28575" cap="rnd">
              <a:solidFill>
                <a:schemeClr val="accent1"/>
              </a:solidFill>
              <a:round/>
            </a:ln>
            <a:effectLst/>
          </c:spPr>
          <c:marker>
            <c:symbol val="none"/>
          </c:marker>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Drivers'!$E$33:$M$33</c:f>
              <c:numCache>
                <c:formatCode>0.00%</c:formatCode>
                <c:ptCount val="9"/>
                <c:pt idx="0">
                  <c:v>0.46921426064895533</c:v>
                </c:pt>
                <c:pt idx="1">
                  <c:v>0.4412543477543665</c:v>
                </c:pt>
                <c:pt idx="2">
                  <c:v>0.44619911021668435</c:v>
                </c:pt>
                <c:pt idx="3">
                  <c:v>0.44351344178878327</c:v>
                </c:pt>
                <c:pt idx="4">
                  <c:v>0.46524560043643359</c:v>
                </c:pt>
                <c:pt idx="5">
                  <c:v>0.48152919645170872</c:v>
                </c:pt>
                <c:pt idx="6">
                  <c:v>0.4971788953363892</c:v>
                </c:pt>
                <c:pt idx="7">
                  <c:v>0.51333720943482186</c:v>
                </c:pt>
                <c:pt idx="8">
                  <c:v>0.53002066874145359</c:v>
                </c:pt>
              </c:numCache>
            </c:numRef>
          </c:val>
          <c:smooth val="0"/>
          <c:extLst>
            <c:ext xmlns:c16="http://schemas.microsoft.com/office/drawing/2014/chart" uri="{C3380CC4-5D6E-409C-BE32-E72D297353CC}">
              <c16:uniqueId val="{00000000-C9DF-134A-AC36-017F5582701B}"/>
            </c:ext>
          </c:extLst>
        </c:ser>
        <c:ser>
          <c:idx val="1"/>
          <c:order val="1"/>
          <c:tx>
            <c:v>Real Yield</c:v>
          </c:tx>
          <c:spPr>
            <a:ln w="28575" cap="rnd">
              <a:solidFill>
                <a:schemeClr val="accent2"/>
              </a:solidFill>
              <a:round/>
            </a:ln>
            <a:effectLst/>
          </c:spPr>
          <c:marker>
            <c:symbol val="none"/>
          </c:marker>
          <c:val>
            <c:numRef>
              <c:f>'Forecast Drivers'!$E$37:$M$37</c:f>
              <c:numCache>
                <c:formatCode>0.00%</c:formatCode>
                <c:ptCount val="9"/>
                <c:pt idx="0">
                  <c:v>0.45234190749923386</c:v>
                </c:pt>
                <c:pt idx="1">
                  <c:v>0.41215715319817436</c:v>
                </c:pt>
                <c:pt idx="2">
                  <c:v>0.38483457814423477</c:v>
                </c:pt>
                <c:pt idx="3">
                  <c:v>0.41644454628054767</c:v>
                </c:pt>
                <c:pt idx="4">
                  <c:v>0.41644454628054767</c:v>
                </c:pt>
                <c:pt idx="5">
                  <c:v>0.41644454628054767</c:v>
                </c:pt>
                <c:pt idx="6">
                  <c:v>0.41644454628054767</c:v>
                </c:pt>
                <c:pt idx="7">
                  <c:v>0.41644454628054767</c:v>
                </c:pt>
                <c:pt idx="8">
                  <c:v>0.41644454628054767</c:v>
                </c:pt>
              </c:numCache>
            </c:numRef>
          </c:val>
          <c:smooth val="0"/>
          <c:extLst>
            <c:ext xmlns:c16="http://schemas.microsoft.com/office/drawing/2014/chart" uri="{C3380CC4-5D6E-409C-BE32-E72D297353CC}">
              <c16:uniqueId val="{00000001-C9DF-134A-AC36-017F5582701B}"/>
            </c:ext>
          </c:extLst>
        </c:ser>
        <c:dLbls>
          <c:showLegendKey val="0"/>
          <c:showVal val="0"/>
          <c:showCatName val="0"/>
          <c:showSerName val="0"/>
          <c:showPercent val="0"/>
          <c:showBubbleSize val="0"/>
        </c:dLbls>
        <c:smooth val="0"/>
        <c:axId val="250902688"/>
        <c:axId val="297983264"/>
      </c:lineChart>
      <c:catAx>
        <c:axId val="25090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97983264"/>
        <c:crosses val="autoZero"/>
        <c:auto val="1"/>
        <c:lblAlgn val="ctr"/>
        <c:lblOffset val="100"/>
        <c:noMultiLvlLbl val="0"/>
      </c:catAx>
      <c:valAx>
        <c:axId val="2979832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50902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Market</a:t>
            </a:r>
            <a:r>
              <a:rPr lang="it-IT" baseline="0"/>
              <a:t> Share SSC</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percentStacked"/>
        <c:varyColors val="0"/>
        <c:ser>
          <c:idx val="0"/>
          <c:order val="0"/>
          <c:tx>
            <c:v>LATAM</c:v>
          </c:tx>
          <c:spPr>
            <a:solidFill>
              <a:schemeClr val="accent1"/>
            </a:solidFill>
            <a:ln>
              <a:noFill/>
            </a:ln>
            <a:effectLst/>
          </c:spPr>
          <c:invertIfNegative val="0"/>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Drivers'!$E$63:$M$63</c:f>
              <c:numCache>
                <c:formatCode>0.00%</c:formatCode>
                <c:ptCount val="9"/>
                <c:pt idx="0">
                  <c:v>0.39640235091147136</c:v>
                </c:pt>
                <c:pt idx="1">
                  <c:v>0.41564545557592686</c:v>
                </c:pt>
                <c:pt idx="2">
                  <c:v>0.40412994991296763</c:v>
                </c:pt>
                <c:pt idx="3">
                  <c:v>0.38649271319717521</c:v>
                </c:pt>
                <c:pt idx="4">
                  <c:v>0.38438086883915912</c:v>
                </c:pt>
                <c:pt idx="5">
                  <c:v>0.38059135083539336</c:v>
                </c:pt>
                <c:pt idx="6">
                  <c:v>0.37986255964264948</c:v>
                </c:pt>
                <c:pt idx="7">
                  <c:v>0.37915122619570801</c:v>
                </c:pt>
                <c:pt idx="8">
                  <c:v>0.3784569323049814</c:v>
                </c:pt>
              </c:numCache>
            </c:numRef>
          </c:val>
          <c:extLst>
            <c:ext xmlns:c16="http://schemas.microsoft.com/office/drawing/2014/chart" uri="{C3380CC4-5D6E-409C-BE32-E72D297353CC}">
              <c16:uniqueId val="{00000000-F325-C640-AEDB-FA8124B6E3C0}"/>
            </c:ext>
          </c:extLst>
        </c:ser>
        <c:ser>
          <c:idx val="1"/>
          <c:order val="1"/>
          <c:tx>
            <c:v>LCC</c:v>
          </c:tx>
          <c:spPr>
            <a:solidFill>
              <a:schemeClr val="accent2"/>
            </a:solidFill>
            <a:ln>
              <a:noFill/>
            </a:ln>
            <a:effectLst/>
          </c:spPr>
          <c:invertIfNegative val="0"/>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Drivers'!$E$64:$M$64</c:f>
              <c:numCache>
                <c:formatCode>0.00%</c:formatCode>
                <c:ptCount val="9"/>
                <c:pt idx="0">
                  <c:v>0.28651846608735165</c:v>
                </c:pt>
                <c:pt idx="1">
                  <c:v>0.34612011629398237</c:v>
                </c:pt>
                <c:pt idx="2">
                  <c:v>0.3466334115951491</c:v>
                </c:pt>
                <c:pt idx="3">
                  <c:v>0.40462054054499441</c:v>
                </c:pt>
                <c:pt idx="4">
                  <c:v>0.41156379322587677</c:v>
                </c:pt>
                <c:pt idx="5">
                  <c:v>0.42402284634644699</c:v>
                </c:pt>
                <c:pt idx="6">
                  <c:v>0.4264189421494427</c:v>
                </c:pt>
                <c:pt idx="7">
                  <c:v>0.42875764094783197</c:v>
                </c:pt>
                <c:pt idx="8">
                  <c:v>0.43104031765163803</c:v>
                </c:pt>
              </c:numCache>
            </c:numRef>
          </c:val>
          <c:extLst>
            <c:ext xmlns:c16="http://schemas.microsoft.com/office/drawing/2014/chart" uri="{C3380CC4-5D6E-409C-BE32-E72D297353CC}">
              <c16:uniqueId val="{00000001-F325-C640-AEDB-FA8124B6E3C0}"/>
            </c:ext>
          </c:extLst>
        </c:ser>
        <c:ser>
          <c:idx val="2"/>
          <c:order val="2"/>
          <c:tx>
            <c:v>Avianca</c:v>
          </c:tx>
          <c:spPr>
            <a:solidFill>
              <a:schemeClr val="accent3"/>
            </a:solidFill>
            <a:ln>
              <a:noFill/>
            </a:ln>
            <a:effectLst/>
          </c:spPr>
          <c:invertIfNegative val="0"/>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Drivers'!$E$65:$M$65</c:f>
              <c:numCache>
                <c:formatCode>0.00%</c:formatCode>
                <c:ptCount val="9"/>
                <c:pt idx="0">
                  <c:v>0.26203778935930322</c:v>
                </c:pt>
                <c:pt idx="1">
                  <c:v>0.20381193072356951</c:v>
                </c:pt>
                <c:pt idx="2">
                  <c:v>0.21940639726235098</c:v>
                </c:pt>
                <c:pt idx="3">
                  <c:v>0.1670770277127834</c:v>
                </c:pt>
                <c:pt idx="4">
                  <c:v>0.16081122283514965</c:v>
                </c:pt>
                <c:pt idx="5">
                  <c:v>0.1495677899080268</c:v>
                </c:pt>
                <c:pt idx="6">
                  <c:v>0.1474054793225246</c:v>
                </c:pt>
                <c:pt idx="7">
                  <c:v>0.14529496556020513</c:v>
                </c:pt>
                <c:pt idx="8">
                  <c:v>0.14323500785995455</c:v>
                </c:pt>
              </c:numCache>
            </c:numRef>
          </c:val>
          <c:extLst>
            <c:ext xmlns:c16="http://schemas.microsoft.com/office/drawing/2014/chart" uri="{C3380CC4-5D6E-409C-BE32-E72D297353CC}">
              <c16:uniqueId val="{00000002-F325-C640-AEDB-FA8124B6E3C0}"/>
            </c:ext>
          </c:extLst>
        </c:ser>
        <c:ser>
          <c:idx val="3"/>
          <c:order val="3"/>
          <c:tx>
            <c:v>Others</c:v>
          </c:tx>
          <c:spPr>
            <a:solidFill>
              <a:schemeClr val="accent4"/>
            </a:solidFill>
            <a:ln>
              <a:noFill/>
            </a:ln>
            <a:effectLst/>
          </c:spPr>
          <c:invertIfNegative val="0"/>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Drivers'!$E$66:$M$66</c:f>
              <c:numCache>
                <c:formatCode>0.00%</c:formatCode>
                <c:ptCount val="9"/>
                <c:pt idx="0">
                  <c:v>5.5041393641873777E-2</c:v>
                </c:pt>
                <c:pt idx="1">
                  <c:v>3.4422497406521299E-2</c:v>
                </c:pt>
                <c:pt idx="2">
                  <c:v>2.98302412295323E-2</c:v>
                </c:pt>
                <c:pt idx="3">
                  <c:v>4.1809718545046878E-2</c:v>
                </c:pt>
                <c:pt idx="4">
                  <c:v>4.3244115099814365E-2</c:v>
                </c:pt>
                <c:pt idx="5">
                  <c:v>4.5818012910132835E-2</c:v>
                </c:pt>
                <c:pt idx="6">
                  <c:v>4.6313018885383202E-2</c:v>
                </c:pt>
                <c:pt idx="7">
                  <c:v>4.6796167296254819E-2</c:v>
                </c:pt>
                <c:pt idx="8">
                  <c:v>4.7267742183425908E-2</c:v>
                </c:pt>
              </c:numCache>
            </c:numRef>
          </c:val>
          <c:extLst>
            <c:ext xmlns:c16="http://schemas.microsoft.com/office/drawing/2014/chart" uri="{C3380CC4-5D6E-409C-BE32-E72D297353CC}">
              <c16:uniqueId val="{00000003-F325-C640-AEDB-FA8124B6E3C0}"/>
            </c:ext>
          </c:extLst>
        </c:ser>
        <c:dLbls>
          <c:showLegendKey val="0"/>
          <c:showVal val="0"/>
          <c:showCatName val="0"/>
          <c:showSerName val="0"/>
          <c:showPercent val="0"/>
          <c:showBubbleSize val="0"/>
        </c:dLbls>
        <c:gapWidth val="150"/>
        <c:overlap val="100"/>
        <c:axId val="342784048"/>
        <c:axId val="275472672"/>
      </c:barChart>
      <c:catAx>
        <c:axId val="34278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75472672"/>
        <c:crosses val="autoZero"/>
        <c:auto val="1"/>
        <c:lblAlgn val="ctr"/>
        <c:lblOffset val="100"/>
        <c:noMultiLvlLbl val="0"/>
      </c:catAx>
      <c:valAx>
        <c:axId val="275472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342784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Latam</a:t>
            </a:r>
            <a:r>
              <a:rPr lang="it-IT" baseline="0"/>
              <a:t> market share</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spPr>
            <a:ln w="28575" cap="rnd">
              <a:solidFill>
                <a:schemeClr val="accent1"/>
              </a:solidFill>
              <a:round/>
            </a:ln>
            <a:effectLst/>
          </c:spPr>
          <c:marker>
            <c:symbol val="none"/>
          </c:marker>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Drivers'!$E$63:$M$63</c:f>
              <c:numCache>
                <c:formatCode>0.00%</c:formatCode>
                <c:ptCount val="9"/>
                <c:pt idx="0">
                  <c:v>0.39640235091147136</c:v>
                </c:pt>
                <c:pt idx="1">
                  <c:v>0.41564545557592686</c:v>
                </c:pt>
                <c:pt idx="2">
                  <c:v>0.40412994991296763</c:v>
                </c:pt>
                <c:pt idx="3">
                  <c:v>0.38649271319717521</c:v>
                </c:pt>
                <c:pt idx="4">
                  <c:v>0.38438086883915912</c:v>
                </c:pt>
                <c:pt idx="5">
                  <c:v>0.38059135083539336</c:v>
                </c:pt>
                <c:pt idx="6">
                  <c:v>0.37986255964264948</c:v>
                </c:pt>
                <c:pt idx="7">
                  <c:v>0.37915122619570801</c:v>
                </c:pt>
                <c:pt idx="8">
                  <c:v>0.3784569323049814</c:v>
                </c:pt>
              </c:numCache>
            </c:numRef>
          </c:val>
          <c:smooth val="0"/>
          <c:extLst>
            <c:ext xmlns:c16="http://schemas.microsoft.com/office/drawing/2014/chart" uri="{C3380CC4-5D6E-409C-BE32-E72D297353CC}">
              <c16:uniqueId val="{00000000-69B8-4349-A457-AC10E0208663}"/>
            </c:ext>
          </c:extLst>
        </c:ser>
        <c:dLbls>
          <c:showLegendKey val="0"/>
          <c:showVal val="0"/>
          <c:showCatName val="0"/>
          <c:showSerName val="0"/>
          <c:showPercent val="0"/>
          <c:showBubbleSize val="0"/>
        </c:dLbls>
        <c:smooth val="0"/>
        <c:axId val="309971824"/>
        <c:axId val="907221056"/>
      </c:lineChart>
      <c:catAx>
        <c:axId val="30997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907221056"/>
        <c:crosses val="autoZero"/>
        <c:auto val="1"/>
        <c:lblAlgn val="ctr"/>
        <c:lblOffset val="100"/>
        <c:noMultiLvlLbl val="0"/>
      </c:catAx>
      <c:valAx>
        <c:axId val="9072210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309971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Forecasted</a:t>
            </a:r>
            <a:r>
              <a:rPr lang="it-IT" baseline="0"/>
              <a:t> $(mln) Revenues Brazil</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spPr>
            <a:ln w="28575" cap="rnd">
              <a:solidFill>
                <a:schemeClr val="accent1"/>
              </a:solidFill>
              <a:round/>
            </a:ln>
            <a:effectLst/>
          </c:spPr>
          <c:marker>
            <c:symbol val="none"/>
          </c:marker>
          <c:cat>
            <c:strRef>
              <c:f>'Forecast Drivers'!$H$6:$M$6</c:f>
              <c:strCache>
                <c:ptCount val="6"/>
                <c:pt idx="0">
                  <c:v>2022E</c:v>
                </c:pt>
                <c:pt idx="1">
                  <c:v>2023F</c:v>
                </c:pt>
                <c:pt idx="2">
                  <c:v>2024F</c:v>
                </c:pt>
                <c:pt idx="3">
                  <c:v>2025F</c:v>
                </c:pt>
                <c:pt idx="4">
                  <c:v>2026F</c:v>
                </c:pt>
                <c:pt idx="5">
                  <c:v>2027F</c:v>
                </c:pt>
              </c:strCache>
            </c:strRef>
          </c:cat>
          <c:val>
            <c:numRef>
              <c:f>'Forecast Drivers'!$H$46:$M$46</c:f>
              <c:numCache>
                <c:formatCode>[$$-1009]#,##0.00</c:formatCode>
                <c:ptCount val="6"/>
                <c:pt idx="0">
                  <c:v>2713.4623490196136</c:v>
                </c:pt>
                <c:pt idx="1">
                  <c:v>2812.6351001752455</c:v>
                </c:pt>
                <c:pt idx="2">
                  <c:v>2900.4871575062175</c:v>
                </c:pt>
                <c:pt idx="3">
                  <c:v>2923.1568096320934</c:v>
                </c:pt>
                <c:pt idx="4">
                  <c:v>2929.5870161831494</c:v>
                </c:pt>
                <c:pt idx="5">
                  <c:v>2952.5763789083489</c:v>
                </c:pt>
              </c:numCache>
            </c:numRef>
          </c:val>
          <c:smooth val="0"/>
          <c:extLst>
            <c:ext xmlns:c16="http://schemas.microsoft.com/office/drawing/2014/chart" uri="{C3380CC4-5D6E-409C-BE32-E72D297353CC}">
              <c16:uniqueId val="{00000000-3AB6-EB4F-B59B-059D9FAFA656}"/>
            </c:ext>
          </c:extLst>
        </c:ser>
        <c:dLbls>
          <c:showLegendKey val="0"/>
          <c:showVal val="0"/>
          <c:showCatName val="0"/>
          <c:showSerName val="0"/>
          <c:showPercent val="0"/>
          <c:showBubbleSize val="0"/>
        </c:dLbls>
        <c:smooth val="0"/>
        <c:axId val="1005661423"/>
        <c:axId val="1005615135"/>
      </c:lineChart>
      <c:catAx>
        <c:axId val="100566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005615135"/>
        <c:crosses val="autoZero"/>
        <c:auto val="1"/>
        <c:lblAlgn val="ctr"/>
        <c:lblOffset val="100"/>
        <c:noMultiLvlLbl val="0"/>
      </c:catAx>
      <c:valAx>
        <c:axId val="1005615135"/>
        <c:scaling>
          <c:orientation val="minMax"/>
        </c:scaling>
        <c:delete val="0"/>
        <c:axPos val="l"/>
        <c:majorGridlines>
          <c:spPr>
            <a:ln w="9525" cap="flat" cmpd="sng" algn="ctr">
              <a:solidFill>
                <a:schemeClr val="tx1">
                  <a:lumMod val="15000"/>
                  <a:lumOff val="85000"/>
                </a:schemeClr>
              </a:solidFill>
              <a:round/>
            </a:ln>
            <a:effectLst/>
          </c:spPr>
        </c:maj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005661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Brazil</a:t>
            </a:r>
            <a:r>
              <a:rPr lang="en-US" baseline="0"/>
              <a:t> Revenues in BRL (mln)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tx>
            <c:v>RBL</c:v>
          </c:tx>
          <c:spPr>
            <a:ln w="28575" cap="rnd">
              <a:solidFill>
                <a:schemeClr val="accent1"/>
              </a:solidFill>
              <a:round/>
            </a:ln>
            <a:effectLst/>
          </c:spPr>
          <c:marker>
            <c:symbol val="none"/>
          </c:marker>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Drivers'!$E$38:$M$38</c:f>
              <c:numCache>
                <c:formatCode>#,##0</c:formatCode>
                <c:ptCount val="9"/>
                <c:pt idx="0">
                  <c:v>15710.735341950001</c:v>
                </c:pt>
                <c:pt idx="1">
                  <c:v>6981.661313999999</c:v>
                </c:pt>
                <c:pt idx="2">
                  <c:v>9034.5731000000014</c:v>
                </c:pt>
                <c:pt idx="3">
                  <c:v>14533.810117941153</c:v>
                </c:pt>
                <c:pt idx="4">
                  <c:v>15592.544212373159</c:v>
                </c:pt>
                <c:pt idx="5">
                  <c:v>17159.684418406392</c:v>
                </c:pt>
                <c:pt idx="6">
                  <c:v>18388.007084939643</c:v>
                </c:pt>
                <c:pt idx="7">
                  <c:v>19524.072083859712</c:v>
                </c:pt>
                <c:pt idx="8">
                  <c:v>20735.046552808657</c:v>
                </c:pt>
              </c:numCache>
            </c:numRef>
          </c:val>
          <c:smooth val="0"/>
          <c:extLst>
            <c:ext xmlns:c16="http://schemas.microsoft.com/office/drawing/2014/chart" uri="{C3380CC4-5D6E-409C-BE32-E72D297353CC}">
              <c16:uniqueId val="{00000000-9838-3648-B58C-4FD11E5C41C9}"/>
            </c:ext>
          </c:extLst>
        </c:ser>
        <c:dLbls>
          <c:showLegendKey val="0"/>
          <c:showVal val="0"/>
          <c:showCatName val="0"/>
          <c:showSerName val="0"/>
          <c:showPercent val="0"/>
          <c:showBubbleSize val="0"/>
        </c:dLbls>
        <c:smooth val="0"/>
        <c:axId val="299661648"/>
        <c:axId val="1035645343"/>
      </c:lineChart>
      <c:catAx>
        <c:axId val="29966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035645343"/>
        <c:crosses val="autoZero"/>
        <c:auto val="1"/>
        <c:lblAlgn val="ctr"/>
        <c:lblOffset val="100"/>
        <c:noMultiLvlLbl val="0"/>
      </c:catAx>
      <c:valAx>
        <c:axId val="1035645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99661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Number of Passengers SSC </a:t>
            </a:r>
            <a:endParaRPr lang="en-US"/>
          </a:p>
        </c:rich>
      </c:tx>
      <c:overlay val="0"/>
      <c:spPr>
        <a:noFill/>
        <a:ln>
          <a:noFill/>
        </a:ln>
        <a:effectLst/>
      </c:spPr>
    </c:title>
    <c:autoTitleDeleted val="0"/>
    <c:plotArea>
      <c:layout/>
      <c:lineChart>
        <c:grouping val="standard"/>
        <c:varyColors val="0"/>
        <c:ser>
          <c:idx val="1"/>
          <c:order val="0"/>
          <c:tx>
            <c:v>Number of Passengers</c:v>
          </c:tx>
          <c:marker>
            <c:symbol val="none"/>
          </c:marker>
          <c:cat>
            <c:numRef>
              <c:f>SSC_Mkt_Sh!$F$24:$S$24</c:f>
              <c:numCache>
                <c:formatCode>General</c:formatCode>
                <c:ptCount val="14"/>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numCache>
            </c:numRef>
          </c:cat>
          <c:val>
            <c:numRef>
              <c:f>SSC_Mkt_Sh!$F$25:$S$25</c:f>
              <c:numCache>
                <c:formatCode>#,##0</c:formatCode>
                <c:ptCount val="14"/>
                <c:pt idx="0">
                  <c:v>42365763</c:v>
                </c:pt>
                <c:pt idx="1">
                  <c:v>45759792</c:v>
                </c:pt>
                <c:pt idx="2">
                  <c:v>48541894</c:v>
                </c:pt>
                <c:pt idx="3">
                  <c:v>49408023</c:v>
                </c:pt>
                <c:pt idx="4">
                  <c:v>53321871</c:v>
                </c:pt>
                <c:pt idx="5">
                  <c:v>58822802</c:v>
                </c:pt>
                <c:pt idx="6">
                  <c:v>21481765</c:v>
                </c:pt>
                <c:pt idx="7">
                  <c:v>41531109</c:v>
                </c:pt>
                <c:pt idx="8">
                  <c:v>61695849.997994058</c:v>
                </c:pt>
                <c:pt idx="9">
                  <c:v>65504039.642803125</c:v>
                </c:pt>
                <c:pt idx="10">
                  <c:v>73662984.403164417</c:v>
                </c:pt>
                <c:pt idx="11">
                  <c:v>75470842.11364615</c:v>
                </c:pt>
                <c:pt idx="12">
                  <c:v>77323068.777244136</c:v>
                </c:pt>
                <c:pt idx="13">
                  <c:v>79220753.309301808</c:v>
                </c:pt>
              </c:numCache>
            </c:numRef>
          </c:val>
          <c:smooth val="0"/>
          <c:extLst>
            <c:ext xmlns:c16="http://schemas.microsoft.com/office/drawing/2014/chart" uri="{C3380CC4-5D6E-409C-BE32-E72D297353CC}">
              <c16:uniqueId val="{0000000A-9358-8A4A-BEB4-644B26125244}"/>
            </c:ext>
          </c:extLst>
        </c:ser>
        <c:dLbls>
          <c:showLegendKey val="0"/>
          <c:showVal val="0"/>
          <c:showCatName val="0"/>
          <c:showSerName val="0"/>
          <c:showPercent val="0"/>
          <c:showBubbleSize val="0"/>
        </c:dLbls>
        <c:smooth val="0"/>
        <c:axId val="452127680"/>
        <c:axId val="452113696"/>
      </c:lineChart>
      <c:catAx>
        <c:axId val="45212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452113696"/>
        <c:crosses val="autoZero"/>
        <c:auto val="1"/>
        <c:lblAlgn val="ctr"/>
        <c:lblOffset val="100"/>
        <c:noMultiLvlLbl val="0"/>
      </c:catAx>
      <c:valAx>
        <c:axId val="4521136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452127680"/>
        <c:crosses val="autoZero"/>
        <c:crossBetween val="between"/>
      </c:valAx>
    </c:plotArea>
    <c:plotVisOnly val="1"/>
    <c:dispBlanksAs val="gap"/>
    <c:showDLblsOverMax val="0"/>
  </c:chart>
  <c:txPr>
    <a:bodyPr/>
    <a:lstStyle/>
    <a:p>
      <a:pPr>
        <a:defRPr/>
      </a:pPr>
      <a:endParaRPr lang="it-I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LATAM</a:t>
            </a:r>
            <a:r>
              <a:rPr lang="it-IT" baseline="0"/>
              <a:t> number of passengers</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spPr>
            <a:ln w="28575" cap="rnd">
              <a:solidFill>
                <a:schemeClr val="accent1"/>
              </a:solidFill>
              <a:round/>
            </a:ln>
            <a:effectLst/>
          </c:spPr>
          <c:marker>
            <c:symbol val="none"/>
          </c:marker>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Drivers'!$E$68:$M$68</c:f>
              <c:numCache>
                <c:formatCode>#,##0</c:formatCode>
                <c:ptCount val="9"/>
                <c:pt idx="0">
                  <c:v>23317497</c:v>
                </c:pt>
                <c:pt idx="1">
                  <c:v>8928798</c:v>
                </c:pt>
                <c:pt idx="2">
                  <c:v>16783965</c:v>
                </c:pt>
                <c:pt idx="3">
                  <c:v>23844996.45873066</c:v>
                </c:pt>
                <c:pt idx="4">
                  <c:v>25178499.670375388</c:v>
                </c:pt>
                <c:pt idx="5">
                  <c:v>28035494.740566857</c:v>
                </c:pt>
                <c:pt idx="6">
                  <c:v>28668547.263675891</c:v>
                </c:pt>
                <c:pt idx="7">
                  <c:v>29317136.34010718</c:v>
                </c:pt>
                <c:pt idx="8">
                  <c:v>29981643.272328064</c:v>
                </c:pt>
              </c:numCache>
            </c:numRef>
          </c:val>
          <c:smooth val="0"/>
          <c:extLst>
            <c:ext xmlns:c16="http://schemas.microsoft.com/office/drawing/2014/chart" uri="{C3380CC4-5D6E-409C-BE32-E72D297353CC}">
              <c16:uniqueId val="{00000000-BCCA-A540-BFCA-11F44501552B}"/>
            </c:ext>
          </c:extLst>
        </c:ser>
        <c:dLbls>
          <c:showLegendKey val="0"/>
          <c:showVal val="0"/>
          <c:showCatName val="0"/>
          <c:showSerName val="0"/>
          <c:showPercent val="0"/>
          <c:showBubbleSize val="0"/>
        </c:dLbls>
        <c:smooth val="0"/>
        <c:axId val="1999065824"/>
        <c:axId val="57208175"/>
      </c:lineChart>
      <c:catAx>
        <c:axId val="199906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57208175"/>
        <c:crosses val="autoZero"/>
        <c:auto val="1"/>
        <c:lblAlgn val="ctr"/>
        <c:lblOffset val="100"/>
        <c:noMultiLvlLbl val="0"/>
      </c:catAx>
      <c:valAx>
        <c:axId val="57208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999065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SSC</a:t>
            </a:r>
            <a:r>
              <a:rPr lang="it-IT" baseline="0"/>
              <a:t> Revenues</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spPr>
            <a:ln w="28575" cap="rnd">
              <a:solidFill>
                <a:schemeClr val="accent1"/>
              </a:solidFill>
              <a:round/>
            </a:ln>
            <a:effectLst/>
          </c:spPr>
          <c:marker>
            <c:symbol val="none"/>
          </c:marker>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Drivers'!$E$84:$M$84</c:f>
              <c:numCache>
                <c:formatCode>[$$-1009]#,##0.00</c:formatCode>
                <c:ptCount val="9"/>
                <c:pt idx="0">
                  <c:v>2932.7</c:v>
                </c:pt>
                <c:pt idx="1">
                  <c:v>1225.3000000000002</c:v>
                </c:pt>
                <c:pt idx="2">
                  <c:v>1829.1999999999998</c:v>
                </c:pt>
                <c:pt idx="3">
                  <c:v>2854.8735439465122</c:v>
                </c:pt>
                <c:pt idx="4">
                  <c:v>3246.0447935787179</c:v>
                </c:pt>
                <c:pt idx="5">
                  <c:v>3717.7433467119827</c:v>
                </c:pt>
                <c:pt idx="6">
                  <c:v>3887.609683981002</c:v>
                </c:pt>
                <c:pt idx="7">
                  <c:v>4055.0730993103643</c:v>
                </c:pt>
                <c:pt idx="8">
                  <c:v>4229.9257598096801</c:v>
                </c:pt>
              </c:numCache>
            </c:numRef>
          </c:val>
          <c:smooth val="0"/>
          <c:extLst>
            <c:ext xmlns:c16="http://schemas.microsoft.com/office/drawing/2014/chart" uri="{C3380CC4-5D6E-409C-BE32-E72D297353CC}">
              <c16:uniqueId val="{00000000-AAD1-6C4A-A0B8-1BECA67E288C}"/>
            </c:ext>
          </c:extLst>
        </c:ser>
        <c:dLbls>
          <c:showLegendKey val="0"/>
          <c:showVal val="0"/>
          <c:showCatName val="0"/>
          <c:showSerName val="0"/>
          <c:showPercent val="0"/>
          <c:showBubbleSize val="0"/>
        </c:dLbls>
        <c:smooth val="0"/>
        <c:axId val="121563087"/>
        <c:axId val="120614863"/>
      </c:lineChart>
      <c:catAx>
        <c:axId val="12156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20614863"/>
        <c:crosses val="autoZero"/>
        <c:auto val="1"/>
        <c:lblAlgn val="ctr"/>
        <c:lblOffset val="100"/>
        <c:noMultiLvlLbl val="0"/>
      </c:catAx>
      <c:valAx>
        <c:axId val="120614863"/>
        <c:scaling>
          <c:orientation val="minMax"/>
        </c:scaling>
        <c:delete val="0"/>
        <c:axPos val="l"/>
        <c:majorGridlines>
          <c:spPr>
            <a:ln w="9525" cap="flat" cmpd="sng" algn="ctr">
              <a:solidFill>
                <a:schemeClr val="tx1">
                  <a:lumMod val="15000"/>
                  <a:lumOff val="85000"/>
                </a:schemeClr>
              </a:solidFill>
              <a:round/>
            </a:ln>
            <a:effectLst/>
          </c:spPr>
        </c:maj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21563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International</a:t>
            </a:r>
            <a:r>
              <a:rPr lang="it-IT" baseline="0"/>
              <a:t> number of passengers</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spPr>
            <a:ln w="28575" cap="rnd">
              <a:solidFill>
                <a:schemeClr val="accent1"/>
              </a:solidFill>
              <a:round/>
            </a:ln>
            <a:effectLst/>
          </c:spPr>
          <c:marker>
            <c:symbol val="none"/>
          </c:marker>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Drivers'!$E$88:$M$88</c:f>
              <c:numCache>
                <c:formatCode>#,##0</c:formatCode>
                <c:ptCount val="9"/>
                <c:pt idx="0">
                  <c:v>63150964</c:v>
                </c:pt>
                <c:pt idx="1">
                  <c:v>17018290</c:v>
                </c:pt>
                <c:pt idx="2">
                  <c:v>18479699</c:v>
                </c:pt>
                <c:pt idx="3">
                  <c:v>24639598.666666668</c:v>
                </c:pt>
                <c:pt idx="4">
                  <c:v>47363223</c:v>
                </c:pt>
                <c:pt idx="5">
                  <c:v>63150964</c:v>
                </c:pt>
                <c:pt idx="6">
                  <c:v>67800750.425779402</c:v>
                </c:pt>
                <c:pt idx="7">
                  <c:v>72792899.223182485</c:v>
                </c:pt>
                <c:pt idx="8">
                  <c:v>78152618.430336326</c:v>
                </c:pt>
              </c:numCache>
            </c:numRef>
          </c:val>
          <c:smooth val="0"/>
          <c:extLst>
            <c:ext xmlns:c16="http://schemas.microsoft.com/office/drawing/2014/chart" uri="{C3380CC4-5D6E-409C-BE32-E72D297353CC}">
              <c16:uniqueId val="{00000000-2040-694A-AB1C-95EE3AAE0F7D}"/>
            </c:ext>
          </c:extLst>
        </c:ser>
        <c:dLbls>
          <c:showLegendKey val="0"/>
          <c:showVal val="0"/>
          <c:showCatName val="0"/>
          <c:showSerName val="0"/>
          <c:showPercent val="0"/>
          <c:showBubbleSize val="0"/>
        </c:dLbls>
        <c:smooth val="0"/>
        <c:axId val="1626936415"/>
        <c:axId val="57244671"/>
      </c:lineChart>
      <c:catAx>
        <c:axId val="162693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57244671"/>
        <c:crosses val="autoZero"/>
        <c:auto val="1"/>
        <c:lblAlgn val="ctr"/>
        <c:lblOffset val="100"/>
        <c:noMultiLvlLbl val="0"/>
      </c:catAx>
      <c:valAx>
        <c:axId val="572446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626936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International</a:t>
            </a:r>
            <a:r>
              <a:rPr lang="it-IT" baseline="0"/>
              <a:t> Market Shares</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percentStacked"/>
        <c:varyColors val="0"/>
        <c:ser>
          <c:idx val="0"/>
          <c:order val="0"/>
          <c:tx>
            <c:strRef>
              <c:f>'Forecast Drivers'!$C$98</c:f>
              <c:strCache>
                <c:ptCount val="1"/>
                <c:pt idx="0">
                  <c:v>Joint venture LATAM Delta</c:v>
                </c:pt>
              </c:strCache>
            </c:strRef>
          </c:tx>
          <c:spPr>
            <a:solidFill>
              <a:schemeClr val="accent1"/>
            </a:solidFill>
            <a:ln>
              <a:noFill/>
            </a:ln>
            <a:effectLst/>
          </c:spPr>
          <c:invertIfNegative val="0"/>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Drivers'!$E$98:$M$98</c:f>
              <c:numCache>
                <c:formatCode>0.00%</c:formatCode>
                <c:ptCount val="9"/>
                <c:pt idx="0">
                  <c:v>0.30845617811946624</c:v>
                </c:pt>
                <c:pt idx="1">
                  <c:v>0.29432915998023301</c:v>
                </c:pt>
                <c:pt idx="2">
                  <c:v>0.20521513905610694</c:v>
                </c:pt>
                <c:pt idx="3">
                  <c:v>0.20524769722968506</c:v>
                </c:pt>
                <c:pt idx="4">
                  <c:v>0.27524769722968506</c:v>
                </c:pt>
                <c:pt idx="5">
                  <c:v>0.30524769722968503</c:v>
                </c:pt>
                <c:pt idx="6">
                  <c:v>0.30524769722968503</c:v>
                </c:pt>
                <c:pt idx="7">
                  <c:v>0.30524769722968503</c:v>
                </c:pt>
                <c:pt idx="8">
                  <c:v>0.30524769722968503</c:v>
                </c:pt>
              </c:numCache>
            </c:numRef>
          </c:val>
          <c:extLst>
            <c:ext xmlns:c16="http://schemas.microsoft.com/office/drawing/2014/chart" uri="{C3380CC4-5D6E-409C-BE32-E72D297353CC}">
              <c16:uniqueId val="{00000000-7559-8D43-A10F-DEA8C191EDDB}"/>
            </c:ext>
          </c:extLst>
        </c:ser>
        <c:ser>
          <c:idx val="1"/>
          <c:order val="1"/>
          <c:tx>
            <c:strRef>
              <c:f>'Forecast Drivers'!$C$99</c:f>
              <c:strCache>
                <c:ptCount val="1"/>
                <c:pt idx="0">
                  <c:v>Abra group</c:v>
                </c:pt>
              </c:strCache>
            </c:strRef>
          </c:tx>
          <c:spPr>
            <a:solidFill>
              <a:schemeClr val="accent2"/>
            </a:solidFill>
            <a:ln>
              <a:noFill/>
            </a:ln>
            <a:effectLst/>
          </c:spPr>
          <c:invertIfNegative val="0"/>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Drivers'!$E$99:$M$99</c:f>
              <c:numCache>
                <c:formatCode>0.00%</c:formatCode>
                <c:ptCount val="9"/>
                <c:pt idx="0">
                  <c:v>0.17050955865060111</c:v>
                </c:pt>
                <c:pt idx="1">
                  <c:v>0.14956502680351552</c:v>
                </c:pt>
                <c:pt idx="2">
                  <c:v>0.14894479612465553</c:v>
                </c:pt>
                <c:pt idx="3">
                  <c:v>0.28272308733848489</c:v>
                </c:pt>
                <c:pt idx="4">
                  <c:v>0.25272308733848492</c:v>
                </c:pt>
                <c:pt idx="5">
                  <c:v>0.24272308733848491</c:v>
                </c:pt>
                <c:pt idx="6">
                  <c:v>0.25272308733848492</c:v>
                </c:pt>
                <c:pt idx="7">
                  <c:v>0.28272308733848495</c:v>
                </c:pt>
                <c:pt idx="8">
                  <c:v>0.29272308733848496</c:v>
                </c:pt>
              </c:numCache>
            </c:numRef>
          </c:val>
          <c:extLst>
            <c:ext xmlns:c16="http://schemas.microsoft.com/office/drawing/2014/chart" uri="{C3380CC4-5D6E-409C-BE32-E72D297353CC}">
              <c16:uniqueId val="{00000001-7559-8D43-A10F-DEA8C191EDDB}"/>
            </c:ext>
          </c:extLst>
        </c:ser>
        <c:ser>
          <c:idx val="2"/>
          <c:order val="2"/>
          <c:tx>
            <c:strRef>
              <c:f>'Forecast Drivers'!$C$100</c:f>
              <c:strCache>
                <c:ptCount val="1"/>
                <c:pt idx="0">
                  <c:v>Copa Holdings</c:v>
                </c:pt>
              </c:strCache>
            </c:strRef>
          </c:tx>
          <c:spPr>
            <a:solidFill>
              <a:schemeClr val="accent3"/>
            </a:solidFill>
            <a:ln>
              <a:noFill/>
            </a:ln>
            <a:effectLst/>
          </c:spPr>
          <c:invertIfNegative val="0"/>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Drivers'!$E$100:$M$100</c:f>
              <c:numCache>
                <c:formatCode>0.00%</c:formatCode>
                <c:ptCount val="9"/>
                <c:pt idx="0">
                  <c:v>3.6601547365136024E-2</c:v>
                </c:pt>
                <c:pt idx="1">
                  <c:v>4.3024534192330724E-2</c:v>
                </c:pt>
                <c:pt idx="2">
                  <c:v>0.12499781517004147</c:v>
                </c:pt>
                <c:pt idx="3">
                  <c:v>0.10086713549558274</c:v>
                </c:pt>
                <c:pt idx="4">
                  <c:v>9.0867135495582743E-2</c:v>
                </c:pt>
                <c:pt idx="5">
                  <c:v>8.5867135495582739E-2</c:v>
                </c:pt>
                <c:pt idx="6">
                  <c:v>8.5867135495582739E-2</c:v>
                </c:pt>
                <c:pt idx="7">
                  <c:v>8.5867135495582739E-2</c:v>
                </c:pt>
                <c:pt idx="8">
                  <c:v>8.5867135495582739E-2</c:v>
                </c:pt>
              </c:numCache>
            </c:numRef>
          </c:val>
          <c:extLst>
            <c:ext xmlns:c16="http://schemas.microsoft.com/office/drawing/2014/chart" uri="{C3380CC4-5D6E-409C-BE32-E72D297353CC}">
              <c16:uniqueId val="{00000002-7559-8D43-A10F-DEA8C191EDDB}"/>
            </c:ext>
          </c:extLst>
        </c:ser>
        <c:ser>
          <c:idx val="3"/>
          <c:order val="3"/>
          <c:tx>
            <c:strRef>
              <c:f>'Forecast Drivers'!$C$101</c:f>
              <c:strCache>
                <c:ptCount val="1"/>
                <c:pt idx="0">
                  <c:v>Jet Smart</c:v>
                </c:pt>
              </c:strCache>
            </c:strRef>
          </c:tx>
          <c:spPr>
            <a:solidFill>
              <a:schemeClr val="accent4"/>
            </a:solidFill>
            <a:ln>
              <a:noFill/>
            </a:ln>
            <a:effectLst/>
          </c:spPr>
          <c:invertIfNegative val="0"/>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Drivers'!$E$101:$M$101</c:f>
              <c:numCache>
                <c:formatCode>0.00%</c:formatCode>
                <c:ptCount val="9"/>
                <c:pt idx="0">
                  <c:v>9.063947147346792E-3</c:v>
                </c:pt>
                <c:pt idx="1">
                  <c:v>1.5284203054478446E-2</c:v>
                </c:pt>
                <c:pt idx="2">
                  <c:v>1.101987646010901E-2</c:v>
                </c:pt>
                <c:pt idx="3">
                  <c:v>2.0714661143673568E-2</c:v>
                </c:pt>
                <c:pt idx="4">
                  <c:v>2.0714661143673568E-2</c:v>
                </c:pt>
                <c:pt idx="5">
                  <c:v>2.0714661143673568E-2</c:v>
                </c:pt>
                <c:pt idx="6">
                  <c:v>2.0714661143673568E-2</c:v>
                </c:pt>
                <c:pt idx="7">
                  <c:v>2.0714661143673568E-2</c:v>
                </c:pt>
                <c:pt idx="8">
                  <c:v>2.0714661143673568E-2</c:v>
                </c:pt>
              </c:numCache>
            </c:numRef>
          </c:val>
          <c:extLst>
            <c:ext xmlns:c16="http://schemas.microsoft.com/office/drawing/2014/chart" uri="{C3380CC4-5D6E-409C-BE32-E72D297353CC}">
              <c16:uniqueId val="{00000003-7559-8D43-A10F-DEA8C191EDDB}"/>
            </c:ext>
          </c:extLst>
        </c:ser>
        <c:ser>
          <c:idx val="4"/>
          <c:order val="4"/>
          <c:tx>
            <c:strRef>
              <c:f>'Forecast Drivers'!$C$102</c:f>
              <c:strCache>
                <c:ptCount val="1"/>
                <c:pt idx="0">
                  <c:v>American Airlines</c:v>
                </c:pt>
              </c:strCache>
            </c:strRef>
          </c:tx>
          <c:spPr>
            <a:solidFill>
              <a:schemeClr val="accent5"/>
            </a:solidFill>
            <a:ln>
              <a:noFill/>
            </a:ln>
            <a:effectLst/>
          </c:spPr>
          <c:invertIfNegative val="0"/>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Drivers'!$E$102:$M$102</c:f>
              <c:numCache>
                <c:formatCode>0.00%</c:formatCode>
                <c:ptCount val="9"/>
                <c:pt idx="0">
                  <c:v>4.3473239775088789E-2</c:v>
                </c:pt>
                <c:pt idx="1">
                  <c:v>5.0153805112029472E-2</c:v>
                </c:pt>
                <c:pt idx="2">
                  <c:v>0.12049698428529598</c:v>
                </c:pt>
                <c:pt idx="3">
                  <c:v>7.2666223502303451E-2</c:v>
                </c:pt>
                <c:pt idx="4">
                  <c:v>6.2666223502303456E-2</c:v>
                </c:pt>
                <c:pt idx="5">
                  <c:v>5.7666223502303458E-2</c:v>
                </c:pt>
                <c:pt idx="6">
                  <c:v>5.2666223502303461E-2</c:v>
                </c:pt>
                <c:pt idx="7">
                  <c:v>5.2666223502303461E-2</c:v>
                </c:pt>
                <c:pt idx="8">
                  <c:v>5.5166223502303463E-2</c:v>
                </c:pt>
              </c:numCache>
            </c:numRef>
          </c:val>
          <c:extLst>
            <c:ext xmlns:c16="http://schemas.microsoft.com/office/drawing/2014/chart" uri="{C3380CC4-5D6E-409C-BE32-E72D297353CC}">
              <c16:uniqueId val="{00000004-7559-8D43-A10F-DEA8C191EDDB}"/>
            </c:ext>
          </c:extLst>
        </c:ser>
        <c:ser>
          <c:idx val="5"/>
          <c:order val="5"/>
          <c:tx>
            <c:strRef>
              <c:f>'Forecast Drivers'!$C$103</c:f>
              <c:strCache>
                <c:ptCount val="1"/>
                <c:pt idx="0">
                  <c:v>United Airlines</c:v>
                </c:pt>
              </c:strCache>
            </c:strRef>
          </c:tx>
          <c:spPr>
            <a:solidFill>
              <a:schemeClr val="accent6"/>
            </a:solidFill>
            <a:ln>
              <a:noFill/>
            </a:ln>
            <a:effectLst/>
          </c:spPr>
          <c:invertIfNegative val="0"/>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Drivers'!$E$103:$M$103</c:f>
              <c:numCache>
                <c:formatCode>0.00%</c:formatCode>
                <c:ptCount val="9"/>
                <c:pt idx="0">
                  <c:v>2.2141815602371485E-2</c:v>
                </c:pt>
                <c:pt idx="1">
                  <c:v>2.572855439647579E-2</c:v>
                </c:pt>
                <c:pt idx="2">
                  <c:v>3.2756053007140427E-2</c:v>
                </c:pt>
                <c:pt idx="3">
                  <c:v>1.5392780763333424E-2</c:v>
                </c:pt>
                <c:pt idx="4">
                  <c:v>1.2892780763333424E-2</c:v>
                </c:pt>
                <c:pt idx="5">
                  <c:v>1.2892780763333424E-2</c:v>
                </c:pt>
                <c:pt idx="6">
                  <c:v>1.2892780763333424E-2</c:v>
                </c:pt>
                <c:pt idx="7">
                  <c:v>1.0392780763333423E-2</c:v>
                </c:pt>
                <c:pt idx="8">
                  <c:v>1.2892780763333424E-2</c:v>
                </c:pt>
              </c:numCache>
            </c:numRef>
          </c:val>
          <c:extLst>
            <c:ext xmlns:c16="http://schemas.microsoft.com/office/drawing/2014/chart" uri="{C3380CC4-5D6E-409C-BE32-E72D297353CC}">
              <c16:uniqueId val="{00000005-7559-8D43-A10F-DEA8C191EDDB}"/>
            </c:ext>
          </c:extLst>
        </c:ser>
        <c:ser>
          <c:idx val="6"/>
          <c:order val="6"/>
          <c:tx>
            <c:strRef>
              <c:f>'Forecast Drivers'!$C$104</c:f>
              <c:strCache>
                <c:ptCount val="1"/>
                <c:pt idx="0">
                  <c:v>OTHERS</c:v>
                </c:pt>
              </c:strCache>
            </c:strRef>
          </c:tx>
          <c:spPr>
            <a:solidFill>
              <a:schemeClr val="accent1">
                <a:lumMod val="60000"/>
              </a:schemeClr>
            </a:solidFill>
            <a:ln>
              <a:noFill/>
            </a:ln>
            <a:effectLst/>
          </c:spPr>
          <c:invertIfNegative val="0"/>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Drivers'!$E$104:$M$104</c:f>
              <c:numCache>
                <c:formatCode>0.00%</c:formatCode>
                <c:ptCount val="9"/>
                <c:pt idx="0">
                  <c:v>0.3893885768711306</c:v>
                </c:pt>
                <c:pt idx="1">
                  <c:v>0.39392970739128313</c:v>
                </c:pt>
                <c:pt idx="2">
                  <c:v>0.33647571857095726</c:v>
                </c:pt>
                <c:pt idx="3">
                  <c:v>0.26752329084908943</c:v>
                </c:pt>
                <c:pt idx="4">
                  <c:v>0.25002329084908942</c:v>
                </c:pt>
                <c:pt idx="5">
                  <c:v>0.24002329084908941</c:v>
                </c:pt>
                <c:pt idx="6">
                  <c:v>0.23502329084908941</c:v>
                </c:pt>
                <c:pt idx="7">
                  <c:v>0.20752329084908941</c:v>
                </c:pt>
                <c:pt idx="8">
                  <c:v>0.19252329084908942</c:v>
                </c:pt>
              </c:numCache>
            </c:numRef>
          </c:val>
          <c:extLst>
            <c:ext xmlns:c16="http://schemas.microsoft.com/office/drawing/2014/chart" uri="{C3380CC4-5D6E-409C-BE32-E72D297353CC}">
              <c16:uniqueId val="{00000006-7559-8D43-A10F-DEA8C191EDDB}"/>
            </c:ext>
          </c:extLst>
        </c:ser>
        <c:dLbls>
          <c:showLegendKey val="0"/>
          <c:showVal val="0"/>
          <c:showCatName val="0"/>
          <c:showSerName val="0"/>
          <c:showPercent val="0"/>
          <c:showBubbleSize val="0"/>
        </c:dLbls>
        <c:gapWidth val="150"/>
        <c:overlap val="100"/>
        <c:axId val="1517921135"/>
        <c:axId val="1300491231"/>
      </c:barChart>
      <c:catAx>
        <c:axId val="151792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300491231"/>
        <c:crosses val="autoZero"/>
        <c:auto val="1"/>
        <c:lblAlgn val="ctr"/>
        <c:lblOffset val="100"/>
        <c:noMultiLvlLbl val="0"/>
      </c:catAx>
      <c:valAx>
        <c:axId val="13004912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517921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Latam</a:t>
            </a:r>
            <a:r>
              <a:rPr lang="it-IT" baseline="0"/>
              <a:t> market Share</a:t>
            </a:r>
            <a:endParaRPr lang="it-IT"/>
          </a:p>
        </c:rich>
      </c:tx>
      <c:layout>
        <c:manualLayout>
          <c:xMode val="edge"/>
          <c:yMode val="edge"/>
          <c:x val="0.3626041119860017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spPr>
            <a:ln w="28575" cap="rnd">
              <a:solidFill>
                <a:schemeClr val="accent1"/>
              </a:solidFill>
              <a:round/>
            </a:ln>
            <a:effectLst/>
          </c:spPr>
          <c:marker>
            <c:symbol val="none"/>
          </c:marker>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Drivers'!$E$106:$M$106</c:f>
              <c:numCache>
                <c:formatCode>0.00%</c:formatCode>
                <c:ptCount val="9"/>
                <c:pt idx="0">
                  <c:v>0.29948472843786472</c:v>
                </c:pt>
                <c:pt idx="1">
                  <c:v>0.29264907183364613</c:v>
                </c:pt>
                <c:pt idx="2">
                  <c:v>0.27591978982612236</c:v>
                </c:pt>
                <c:pt idx="3">
                  <c:v>0.18004990232795459</c:v>
                </c:pt>
                <c:pt idx="4">
                  <c:v>0.18764016587816146</c:v>
                </c:pt>
                <c:pt idx="5">
                  <c:v>0.25163509390296956</c:v>
                </c:pt>
                <c:pt idx="6">
                  <c:v>0.27906149162788735</c:v>
                </c:pt>
                <c:pt idx="7">
                  <c:v>0.27906149162788735</c:v>
                </c:pt>
                <c:pt idx="8">
                  <c:v>0.27906149162788735</c:v>
                </c:pt>
              </c:numCache>
            </c:numRef>
          </c:val>
          <c:smooth val="0"/>
          <c:extLst>
            <c:ext xmlns:c16="http://schemas.microsoft.com/office/drawing/2014/chart" uri="{C3380CC4-5D6E-409C-BE32-E72D297353CC}">
              <c16:uniqueId val="{00000000-186D-7A47-B137-DFE3D5F538E9}"/>
            </c:ext>
          </c:extLst>
        </c:ser>
        <c:dLbls>
          <c:showLegendKey val="0"/>
          <c:showVal val="0"/>
          <c:showCatName val="0"/>
          <c:showSerName val="0"/>
          <c:showPercent val="0"/>
          <c:showBubbleSize val="0"/>
        </c:dLbls>
        <c:smooth val="0"/>
        <c:axId val="966519152"/>
        <c:axId val="1319370783"/>
      </c:lineChart>
      <c:catAx>
        <c:axId val="96651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319370783"/>
        <c:crosses val="autoZero"/>
        <c:auto val="1"/>
        <c:lblAlgn val="ctr"/>
        <c:lblOffset val="100"/>
        <c:noMultiLvlLbl val="0"/>
      </c:catAx>
      <c:valAx>
        <c:axId val="13193707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966519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Latam</a:t>
            </a:r>
            <a:r>
              <a:rPr lang="it-IT" baseline="0"/>
              <a:t> International Passengers</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spPr>
            <a:ln w="28575" cap="rnd">
              <a:solidFill>
                <a:schemeClr val="accent1"/>
              </a:solidFill>
              <a:round/>
            </a:ln>
            <a:effectLst/>
          </c:spPr>
          <c:marker>
            <c:symbol val="none"/>
          </c:marker>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Drivers'!$E$113:$M$113</c:f>
              <c:numCache>
                <c:formatCode>#,##0</c:formatCode>
                <c:ptCount val="9"/>
                <c:pt idx="0">
                  <c:v>18481071</c:v>
                </c:pt>
                <c:pt idx="1">
                  <c:v>4695683</c:v>
                </c:pt>
                <c:pt idx="2">
                  <c:v>3327268</c:v>
                </c:pt>
                <c:pt idx="3">
                  <c:v>4623378.3809846593</c:v>
                </c:pt>
                <c:pt idx="4">
                  <c:v>11918249.067152288</c:v>
                </c:pt>
                <c:pt idx="5">
                  <c:v>17623002.211579014</c:v>
                </c:pt>
                <c:pt idx="6">
                  <c:v>18920578.547308117</c:v>
                </c:pt>
                <c:pt idx="7">
                  <c:v>20313695.037139785</c:v>
                </c:pt>
                <c:pt idx="8">
                  <c:v>21809386.273794774</c:v>
                </c:pt>
              </c:numCache>
            </c:numRef>
          </c:val>
          <c:smooth val="0"/>
          <c:extLst>
            <c:ext xmlns:c16="http://schemas.microsoft.com/office/drawing/2014/chart" uri="{C3380CC4-5D6E-409C-BE32-E72D297353CC}">
              <c16:uniqueId val="{00000000-1B59-6249-9F55-9206DEFBDEF6}"/>
            </c:ext>
          </c:extLst>
        </c:ser>
        <c:dLbls>
          <c:showLegendKey val="0"/>
          <c:showVal val="0"/>
          <c:showCatName val="0"/>
          <c:showSerName val="0"/>
          <c:showPercent val="0"/>
          <c:showBubbleSize val="0"/>
        </c:dLbls>
        <c:smooth val="0"/>
        <c:axId val="1592424847"/>
        <c:axId val="1303620559"/>
      </c:lineChart>
      <c:catAx>
        <c:axId val="159242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303620559"/>
        <c:crosses val="autoZero"/>
        <c:auto val="1"/>
        <c:lblAlgn val="ctr"/>
        <c:lblOffset val="100"/>
        <c:noMultiLvlLbl val="0"/>
      </c:catAx>
      <c:valAx>
        <c:axId val="13036205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592424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Revenue</a:t>
            </a:r>
            <a:r>
              <a:rPr lang="it-IT" baseline="0"/>
              <a:t> Per passenger</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spPr>
            <a:solidFill>
              <a:schemeClr val="accent1"/>
            </a:solidFill>
            <a:ln>
              <a:noFill/>
            </a:ln>
            <a:effectLst/>
          </c:spPr>
          <c:invertIfNegative val="0"/>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Drivers'!$E$114:$M$114</c:f>
              <c:numCache>
                <c:formatCode>[$$-2809]#,##0.00</c:formatCode>
                <c:ptCount val="9"/>
                <c:pt idx="0">
                  <c:v>172.47918153661118</c:v>
                </c:pt>
                <c:pt idx="1">
                  <c:v>296.93230995363189</c:v>
                </c:pt>
                <c:pt idx="2">
                  <c:v>417.88037513058759</c:v>
                </c:pt>
                <c:pt idx="3">
                  <c:v>474</c:v>
                </c:pt>
                <c:pt idx="4">
                  <c:v>267.45539399619514</c:v>
                </c:pt>
                <c:pt idx="5">
                  <c:v>204.93391288500592</c:v>
                </c:pt>
                <c:pt idx="6">
                  <c:v>199.21345467478591</c:v>
                </c:pt>
                <c:pt idx="7">
                  <c:v>203.18047585012795</c:v>
                </c:pt>
                <c:pt idx="8">
                  <c:v>207.31997620700662</c:v>
                </c:pt>
              </c:numCache>
            </c:numRef>
          </c:val>
          <c:extLst>
            <c:ext xmlns:c16="http://schemas.microsoft.com/office/drawing/2014/chart" uri="{C3380CC4-5D6E-409C-BE32-E72D297353CC}">
              <c16:uniqueId val="{00000000-B8F7-7340-87DD-B4F9912243B5}"/>
            </c:ext>
          </c:extLst>
        </c:ser>
        <c:dLbls>
          <c:showLegendKey val="0"/>
          <c:showVal val="0"/>
          <c:showCatName val="0"/>
          <c:showSerName val="0"/>
          <c:showPercent val="0"/>
          <c:showBubbleSize val="0"/>
        </c:dLbls>
        <c:gapWidth val="150"/>
        <c:axId val="1754503679"/>
        <c:axId val="1754398127"/>
      </c:barChart>
      <c:lineChart>
        <c:grouping val="standard"/>
        <c:varyColors val="0"/>
        <c:ser>
          <c:idx val="1"/>
          <c:order val="1"/>
          <c:spPr>
            <a:ln w="28575" cap="rnd">
              <a:solidFill>
                <a:schemeClr val="accent2"/>
              </a:solidFill>
              <a:round/>
            </a:ln>
            <a:effectLst/>
          </c:spPr>
          <c:marker>
            <c:symbol val="none"/>
          </c:marker>
          <c:val>
            <c:numRef>
              <c:f>'Forecast Drivers'!$E$135:$M$135</c:f>
              <c:numCache>
                <c:formatCode>General</c:formatCode>
                <c:ptCount val="9"/>
                <c:pt idx="0">
                  <c:v>7</c:v>
                </c:pt>
                <c:pt idx="1">
                  <c:v>7.8</c:v>
                </c:pt>
                <c:pt idx="2">
                  <c:v>7.6</c:v>
                </c:pt>
                <c:pt idx="3">
                  <c:v>8.4</c:v>
                </c:pt>
                <c:pt idx="4">
                  <c:v>8.1999999999999993</c:v>
                </c:pt>
                <c:pt idx="5">
                  <c:v>7.7</c:v>
                </c:pt>
                <c:pt idx="6">
                  <c:v>7.8</c:v>
                </c:pt>
                <c:pt idx="7">
                  <c:v>7.8</c:v>
                </c:pt>
                <c:pt idx="8">
                  <c:v>7.9</c:v>
                </c:pt>
              </c:numCache>
            </c:numRef>
          </c:val>
          <c:smooth val="0"/>
          <c:extLst>
            <c:ext xmlns:c16="http://schemas.microsoft.com/office/drawing/2014/chart" uri="{C3380CC4-5D6E-409C-BE32-E72D297353CC}">
              <c16:uniqueId val="{00000001-B8F7-7340-87DD-B4F9912243B5}"/>
            </c:ext>
          </c:extLst>
        </c:ser>
        <c:dLbls>
          <c:showLegendKey val="0"/>
          <c:showVal val="0"/>
          <c:showCatName val="0"/>
          <c:showSerName val="0"/>
          <c:showPercent val="0"/>
          <c:showBubbleSize val="0"/>
        </c:dLbls>
        <c:marker val="1"/>
        <c:smooth val="0"/>
        <c:axId val="1654428143"/>
        <c:axId val="1653728671"/>
      </c:lineChart>
      <c:catAx>
        <c:axId val="175450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754398127"/>
        <c:crosses val="autoZero"/>
        <c:auto val="1"/>
        <c:lblAlgn val="ctr"/>
        <c:lblOffset val="100"/>
        <c:noMultiLvlLbl val="0"/>
      </c:catAx>
      <c:valAx>
        <c:axId val="1754398127"/>
        <c:scaling>
          <c:orientation val="minMax"/>
        </c:scaling>
        <c:delete val="0"/>
        <c:axPos val="l"/>
        <c:majorGridlines>
          <c:spPr>
            <a:ln w="9525" cap="flat" cmpd="sng" algn="ctr">
              <a:solidFill>
                <a:schemeClr val="tx1">
                  <a:lumMod val="15000"/>
                  <a:lumOff val="85000"/>
                </a:schemeClr>
              </a:solidFill>
              <a:round/>
            </a:ln>
            <a:effectLst/>
          </c:spPr>
        </c:majorGridlines>
        <c:numFmt formatCode="[$$-28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754503679"/>
        <c:crosses val="autoZero"/>
        <c:crossBetween val="between"/>
      </c:valAx>
      <c:valAx>
        <c:axId val="165372867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654428143"/>
        <c:crosses val="max"/>
        <c:crossBetween val="between"/>
      </c:valAx>
      <c:catAx>
        <c:axId val="1654428143"/>
        <c:scaling>
          <c:orientation val="minMax"/>
        </c:scaling>
        <c:delete val="1"/>
        <c:axPos val="b"/>
        <c:majorTickMark val="out"/>
        <c:minorTickMark val="none"/>
        <c:tickLblPos val="nextTo"/>
        <c:crossAx val="165372867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b="1"/>
              <a:t>Market</a:t>
            </a:r>
            <a:r>
              <a:rPr lang="it-IT" b="1" baseline="0"/>
              <a:t> Shares</a:t>
            </a:r>
          </a:p>
          <a:p>
            <a:pPr>
              <a:defRPr/>
            </a:pPr>
            <a:r>
              <a:rPr lang="it-IT" b="1" baseline="0"/>
              <a:t>Number of Passengers and RPKs</a:t>
            </a:r>
            <a:endParaRPr lang="it-IT" b="1"/>
          </a:p>
        </c:rich>
      </c:tx>
      <c:layout>
        <c:manualLayout>
          <c:xMode val="edge"/>
          <c:yMode val="edge"/>
          <c:x val="0.15866616174674533"/>
          <c:y val="6.85000798090058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8.8043019852524745E-2"/>
          <c:y val="0.12816420567092804"/>
          <c:w val="0.82006749156355452"/>
          <c:h val="0.82374521702979109"/>
        </c:manualLayout>
      </c:layout>
      <c:barChart>
        <c:barDir val="col"/>
        <c:grouping val="clustered"/>
        <c:varyColors val="0"/>
        <c:ser>
          <c:idx val="0"/>
          <c:order val="0"/>
          <c:tx>
            <c:v>Brazil</c:v>
          </c:tx>
          <c:spPr>
            <a:gradFill>
              <a:gsLst>
                <a:gs pos="24000">
                  <a:srgbClr val="1F177D">
                    <a:alpha val="56000"/>
                  </a:srgbClr>
                </a:gs>
                <a:gs pos="0">
                  <a:schemeClr val="accent1">
                    <a:lumMod val="5000"/>
                    <a:lumOff val="95000"/>
                  </a:schemeClr>
                </a:gs>
                <a:gs pos="46000">
                  <a:srgbClr val="1F177D">
                    <a:alpha val="54000"/>
                  </a:srgbClr>
                </a:gs>
                <a:gs pos="69000">
                  <a:srgbClr val="1F177D">
                    <a:alpha val="69000"/>
                    <a:lumMod val="98000"/>
                  </a:srgbClr>
                </a:gs>
                <a:gs pos="100000">
                  <a:schemeClr val="accent1">
                    <a:lumMod val="30000"/>
                    <a:lumOff val="70000"/>
                  </a:schemeClr>
                </a:gs>
              </a:gsLst>
              <a:lin ang="5400000" scaled="1"/>
            </a:gradFill>
            <a:ln>
              <a:solidFill>
                <a:srgbClr val="1F177D"/>
              </a:solidFill>
            </a:ln>
            <a:effectLst/>
          </c:spPr>
          <c:invertIfNegative val="0"/>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Drivers'!$E$22:$M$22</c:f>
              <c:numCache>
                <c:formatCode>0.00%</c:formatCode>
                <c:ptCount val="9"/>
                <c:pt idx="0">
                  <c:v>0.34715697949493357</c:v>
                </c:pt>
                <c:pt idx="1">
                  <c:v>0.32492315345776157</c:v>
                </c:pt>
                <c:pt idx="2">
                  <c:v>0.30506081614431718</c:v>
                </c:pt>
                <c:pt idx="3">
                  <c:v>0.34050995244764731</c:v>
                </c:pt>
                <c:pt idx="4">
                  <c:v>0.3383078524079946</c:v>
                </c:pt>
                <c:pt idx="5">
                  <c:v>0.33215957211078689</c:v>
                </c:pt>
                <c:pt idx="6">
                  <c:v>0.32839587689688216</c:v>
                </c:pt>
                <c:pt idx="7">
                  <c:v>0.32570689463048674</c:v>
                </c:pt>
                <c:pt idx="8">
                  <c:v>0.32311348263956979</c:v>
                </c:pt>
              </c:numCache>
            </c:numRef>
          </c:val>
          <c:extLst>
            <c:ext xmlns:c16="http://schemas.microsoft.com/office/drawing/2014/chart" uri="{C3380CC4-5D6E-409C-BE32-E72D297353CC}">
              <c16:uniqueId val="{00000000-BFE1-482F-BBB3-01451E7CA3E1}"/>
            </c:ext>
          </c:extLst>
        </c:ser>
        <c:ser>
          <c:idx val="1"/>
          <c:order val="2"/>
          <c:tx>
            <c:v>SSC</c:v>
          </c:tx>
          <c:spPr>
            <a:gradFill>
              <a:gsLst>
                <a:gs pos="0">
                  <a:schemeClr val="accent1">
                    <a:lumMod val="5000"/>
                    <a:lumOff val="95000"/>
                  </a:schemeClr>
                </a:gs>
                <a:gs pos="39000">
                  <a:srgbClr val="FD6F83">
                    <a:alpha val="65000"/>
                  </a:srgbClr>
                </a:gs>
                <a:gs pos="68000">
                  <a:srgbClr val="FD6F83">
                    <a:alpha val="29000"/>
                  </a:srgbClr>
                </a:gs>
                <a:gs pos="100000">
                  <a:srgbClr val="F3F3F8"/>
                </a:gs>
              </a:gsLst>
              <a:lin ang="5400000" scaled="1"/>
            </a:gradFill>
            <a:ln>
              <a:solidFill>
                <a:srgbClr val="FF0000"/>
              </a:solidFill>
            </a:ln>
            <a:effectLst/>
          </c:spPr>
          <c:invertIfNegative val="0"/>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Drivers'!$E$63:$M$63</c:f>
              <c:numCache>
                <c:formatCode>0.00%</c:formatCode>
                <c:ptCount val="9"/>
                <c:pt idx="0">
                  <c:v>0.39640235091147136</c:v>
                </c:pt>
                <c:pt idx="1">
                  <c:v>0.41564545557592686</c:v>
                </c:pt>
                <c:pt idx="2">
                  <c:v>0.40412994991296763</c:v>
                </c:pt>
                <c:pt idx="3">
                  <c:v>0.38649271319717521</c:v>
                </c:pt>
                <c:pt idx="4">
                  <c:v>0.38438086883915912</c:v>
                </c:pt>
                <c:pt idx="5">
                  <c:v>0.38059135083539336</c:v>
                </c:pt>
                <c:pt idx="6">
                  <c:v>0.37986255964264948</c:v>
                </c:pt>
                <c:pt idx="7">
                  <c:v>0.37915122619570801</c:v>
                </c:pt>
                <c:pt idx="8">
                  <c:v>0.3784569323049814</c:v>
                </c:pt>
              </c:numCache>
            </c:numRef>
          </c:val>
          <c:extLst>
            <c:ext xmlns:c16="http://schemas.microsoft.com/office/drawing/2014/chart" uri="{C3380CC4-5D6E-409C-BE32-E72D297353CC}">
              <c16:uniqueId val="{00000001-BFE1-482F-BBB3-01451E7CA3E1}"/>
            </c:ext>
          </c:extLst>
        </c:ser>
        <c:ser>
          <c:idx val="2"/>
          <c:order val="4"/>
          <c:tx>
            <c:v>International</c:v>
          </c:tx>
          <c:spPr>
            <a:gradFill>
              <a:gsLst>
                <a:gs pos="0">
                  <a:schemeClr val="accent1">
                    <a:lumMod val="5000"/>
                    <a:lumOff val="95000"/>
                  </a:schemeClr>
                </a:gs>
                <a:gs pos="14000">
                  <a:schemeClr val="bg2">
                    <a:lumMod val="50000"/>
                    <a:alpha val="40000"/>
                  </a:schemeClr>
                </a:gs>
                <a:gs pos="84000">
                  <a:schemeClr val="bg2">
                    <a:lumMod val="50000"/>
                    <a:alpha val="53000"/>
                  </a:schemeClr>
                </a:gs>
                <a:gs pos="100000">
                  <a:srgbClr val="F3F3F8"/>
                </a:gs>
              </a:gsLst>
              <a:lin ang="5400000" scaled="1"/>
            </a:gradFill>
            <a:ln>
              <a:solidFill>
                <a:srgbClr val="7D7D7D"/>
              </a:solidFill>
            </a:ln>
            <a:effectLst/>
          </c:spPr>
          <c:invertIfNegative val="0"/>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Drivers'!$E$106:$M$106</c:f>
              <c:numCache>
                <c:formatCode>0.00%</c:formatCode>
                <c:ptCount val="9"/>
                <c:pt idx="0">
                  <c:v>0.29948472843786472</c:v>
                </c:pt>
                <c:pt idx="1">
                  <c:v>0.29264907183364613</c:v>
                </c:pt>
                <c:pt idx="2">
                  <c:v>0.27591978982612236</c:v>
                </c:pt>
                <c:pt idx="3">
                  <c:v>0.18004990232795459</c:v>
                </c:pt>
                <c:pt idx="4">
                  <c:v>0.18764016587816146</c:v>
                </c:pt>
                <c:pt idx="5">
                  <c:v>0.25163509390296956</c:v>
                </c:pt>
                <c:pt idx="6">
                  <c:v>0.27906149162788735</c:v>
                </c:pt>
                <c:pt idx="7">
                  <c:v>0.27906149162788735</c:v>
                </c:pt>
                <c:pt idx="8">
                  <c:v>0.27906149162788735</c:v>
                </c:pt>
              </c:numCache>
            </c:numRef>
          </c:val>
          <c:extLst>
            <c:ext xmlns:c16="http://schemas.microsoft.com/office/drawing/2014/chart" uri="{C3380CC4-5D6E-409C-BE32-E72D297353CC}">
              <c16:uniqueId val="{00000002-BFE1-482F-BBB3-01451E7CA3E1}"/>
            </c:ext>
          </c:extLst>
        </c:ser>
        <c:dLbls>
          <c:showLegendKey val="0"/>
          <c:showVal val="0"/>
          <c:showCatName val="0"/>
          <c:showSerName val="0"/>
          <c:showPercent val="0"/>
          <c:showBubbleSize val="0"/>
        </c:dLbls>
        <c:gapWidth val="219"/>
        <c:axId val="252927055"/>
        <c:axId val="252877135"/>
      </c:barChart>
      <c:lineChart>
        <c:grouping val="standard"/>
        <c:varyColors val="0"/>
        <c:ser>
          <c:idx val="3"/>
          <c:order val="1"/>
          <c:tx>
            <c:v>Brazil RPK</c:v>
          </c:tx>
          <c:spPr>
            <a:ln w="47625" cap="rnd">
              <a:solidFill>
                <a:srgbClr val="1F177D">
                  <a:alpha val="99000"/>
                </a:srgbClr>
              </a:solidFill>
              <a:round/>
            </a:ln>
            <a:effectLst/>
          </c:spPr>
          <c:marker>
            <c:symbol val="circle"/>
            <c:size val="5"/>
            <c:spPr>
              <a:solidFill>
                <a:srgbClr val="1F177D"/>
              </a:solidFill>
              <a:ln w="22225">
                <a:solidFill>
                  <a:srgbClr val="1F177D"/>
                </a:solidFill>
              </a:ln>
              <a:effectLst/>
            </c:spPr>
          </c:marker>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Drivers'!$E$25:$M$25</c:f>
              <c:numCache>
                <c:formatCode>#,##0</c:formatCode>
                <c:ptCount val="9"/>
                <c:pt idx="0">
                  <c:v>33483073.000000004</c:v>
                </c:pt>
                <c:pt idx="1">
                  <c:v>15822305.999999998</c:v>
                </c:pt>
                <c:pt idx="2">
                  <c:v>20247851</c:v>
                </c:pt>
                <c:pt idx="3">
                  <c:v>32769717.326544225</c:v>
                </c:pt>
                <c:pt idx="4">
                  <c:v>33514651.611420378</c:v>
                </c:pt>
                <c:pt idx="5">
                  <c:v>35635813.040730737</c:v>
                </c:pt>
                <c:pt idx="6">
                  <c:v>36984689.530110471</c:v>
                </c:pt>
                <c:pt idx="7">
                  <c:v>38033619.470825978</c:v>
                </c:pt>
                <c:pt idx="8">
                  <c:v>39121203.710875101</c:v>
                </c:pt>
              </c:numCache>
            </c:numRef>
          </c:val>
          <c:smooth val="0"/>
          <c:extLst>
            <c:ext xmlns:c16="http://schemas.microsoft.com/office/drawing/2014/chart" uri="{C3380CC4-5D6E-409C-BE32-E72D297353CC}">
              <c16:uniqueId val="{00000003-BFE1-482F-BBB3-01451E7CA3E1}"/>
            </c:ext>
          </c:extLst>
        </c:ser>
        <c:ser>
          <c:idx val="4"/>
          <c:order val="3"/>
          <c:tx>
            <c:v>SSC NoP</c:v>
          </c:tx>
          <c:spPr>
            <a:ln w="50800" cap="rnd">
              <a:solidFill>
                <a:srgbClr val="FB4F6C">
                  <a:alpha val="93000"/>
                </a:srgbClr>
              </a:solidFill>
              <a:round/>
            </a:ln>
            <a:effectLst/>
          </c:spPr>
          <c:marker>
            <c:symbol val="square"/>
            <c:size val="5"/>
            <c:spPr>
              <a:solidFill>
                <a:srgbClr val="FD6F83"/>
              </a:solidFill>
              <a:ln w="25400">
                <a:solidFill>
                  <a:srgbClr val="FB4F6C"/>
                </a:solidFill>
              </a:ln>
              <a:effectLst/>
            </c:spPr>
          </c:marker>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Drivers'!$E$68:$M$68</c:f>
              <c:numCache>
                <c:formatCode>#,##0</c:formatCode>
                <c:ptCount val="9"/>
                <c:pt idx="0">
                  <c:v>23317497</c:v>
                </c:pt>
                <c:pt idx="1">
                  <c:v>8928798</c:v>
                </c:pt>
                <c:pt idx="2">
                  <c:v>16783965</c:v>
                </c:pt>
                <c:pt idx="3">
                  <c:v>23844996.45873066</c:v>
                </c:pt>
                <c:pt idx="4">
                  <c:v>25178499.670375388</c:v>
                </c:pt>
                <c:pt idx="5">
                  <c:v>28035494.740566857</c:v>
                </c:pt>
                <c:pt idx="6">
                  <c:v>28668547.263675891</c:v>
                </c:pt>
                <c:pt idx="7">
                  <c:v>29317136.34010718</c:v>
                </c:pt>
                <c:pt idx="8">
                  <c:v>29981643.272328064</c:v>
                </c:pt>
              </c:numCache>
            </c:numRef>
          </c:val>
          <c:smooth val="0"/>
          <c:extLst>
            <c:ext xmlns:c16="http://schemas.microsoft.com/office/drawing/2014/chart" uri="{C3380CC4-5D6E-409C-BE32-E72D297353CC}">
              <c16:uniqueId val="{00000004-BFE1-482F-BBB3-01451E7CA3E1}"/>
            </c:ext>
          </c:extLst>
        </c:ser>
        <c:ser>
          <c:idx val="5"/>
          <c:order val="5"/>
          <c:tx>
            <c:v>Inter NoP</c:v>
          </c:tx>
          <c:spPr>
            <a:ln w="44450" cap="rnd">
              <a:solidFill>
                <a:schemeClr val="bg2">
                  <a:lumMod val="50000"/>
                </a:schemeClr>
              </a:solidFill>
              <a:round/>
            </a:ln>
            <a:effectLst/>
          </c:spPr>
          <c:marker>
            <c:symbol val="square"/>
            <c:size val="5"/>
            <c:spPr>
              <a:solidFill>
                <a:srgbClr val="7D7D7D">
                  <a:alpha val="97000"/>
                </a:srgbClr>
              </a:solidFill>
              <a:ln w="38100">
                <a:solidFill>
                  <a:srgbClr val="7D7D7D"/>
                </a:solidFill>
              </a:ln>
              <a:effectLst/>
            </c:spPr>
          </c:marker>
          <c:cat>
            <c:strRef>
              <c:f>'Forecast Drivers'!$E$6:$M$6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Drivers'!$E$113:$M$113</c:f>
              <c:numCache>
                <c:formatCode>#,##0</c:formatCode>
                <c:ptCount val="9"/>
                <c:pt idx="0">
                  <c:v>18481071</c:v>
                </c:pt>
                <c:pt idx="1">
                  <c:v>4695683</c:v>
                </c:pt>
                <c:pt idx="2">
                  <c:v>3327268</c:v>
                </c:pt>
                <c:pt idx="3">
                  <c:v>4623378.3809846593</c:v>
                </c:pt>
                <c:pt idx="4">
                  <c:v>11918249.067152288</c:v>
                </c:pt>
                <c:pt idx="5">
                  <c:v>17623002.211579014</c:v>
                </c:pt>
                <c:pt idx="6">
                  <c:v>18920578.547308117</c:v>
                </c:pt>
                <c:pt idx="7">
                  <c:v>20313695.037139785</c:v>
                </c:pt>
                <c:pt idx="8">
                  <c:v>21809386.273794774</c:v>
                </c:pt>
              </c:numCache>
            </c:numRef>
          </c:val>
          <c:smooth val="0"/>
          <c:extLst>
            <c:ext xmlns:c16="http://schemas.microsoft.com/office/drawing/2014/chart" uri="{C3380CC4-5D6E-409C-BE32-E72D297353CC}">
              <c16:uniqueId val="{00000005-BFE1-482F-BBB3-01451E7CA3E1}"/>
            </c:ext>
          </c:extLst>
        </c:ser>
        <c:dLbls>
          <c:showLegendKey val="0"/>
          <c:showVal val="0"/>
          <c:showCatName val="0"/>
          <c:showSerName val="0"/>
          <c:showPercent val="0"/>
          <c:showBubbleSize val="0"/>
        </c:dLbls>
        <c:marker val="1"/>
        <c:smooth val="0"/>
        <c:axId val="2088135999"/>
        <c:axId val="2088135583"/>
      </c:lineChart>
      <c:catAx>
        <c:axId val="25292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52877135"/>
        <c:crosses val="autoZero"/>
        <c:auto val="1"/>
        <c:lblAlgn val="ctr"/>
        <c:lblOffset val="100"/>
        <c:noMultiLvlLbl val="0"/>
      </c:catAx>
      <c:valAx>
        <c:axId val="25287713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52927055"/>
        <c:crosses val="autoZero"/>
        <c:crossBetween val="between"/>
      </c:valAx>
      <c:valAx>
        <c:axId val="208813558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088135999"/>
        <c:crosses val="max"/>
        <c:crossBetween val="between"/>
      </c:valAx>
      <c:catAx>
        <c:axId val="2088135999"/>
        <c:scaling>
          <c:orientation val="minMax"/>
        </c:scaling>
        <c:delete val="1"/>
        <c:axPos val="b"/>
        <c:numFmt formatCode="General" sourceLinked="1"/>
        <c:majorTickMark val="out"/>
        <c:minorTickMark val="none"/>
        <c:tickLblPos val="nextTo"/>
        <c:crossAx val="2088135583"/>
        <c:crosses val="autoZero"/>
        <c:auto val="1"/>
        <c:lblAlgn val="ctr"/>
        <c:lblOffset val="100"/>
        <c:noMultiLvlLbl val="0"/>
      </c:catAx>
      <c:spPr>
        <a:noFill/>
        <a:ln>
          <a:noFill/>
        </a:ln>
        <a:effectLst/>
      </c:spPr>
    </c:plotArea>
    <c:legend>
      <c:legendPos val="r"/>
      <c:layout>
        <c:manualLayout>
          <c:xMode val="edge"/>
          <c:yMode val="edge"/>
          <c:x val="0.46129189804506615"/>
          <c:y val="2.597558377401827E-2"/>
          <c:w val="0.27526628412245774"/>
          <c:h val="0.185610778059346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Brasilian</a:t>
            </a:r>
            <a:r>
              <a:rPr lang="it-IT" baseline="0"/>
              <a:t> Real GDP</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spPr>
            <a:ln w="28575" cap="rnd">
              <a:solidFill>
                <a:schemeClr val="accent1"/>
              </a:solidFill>
              <a:round/>
            </a:ln>
            <a:effectLst/>
          </c:spPr>
          <c:marker>
            <c:symbol val="none"/>
          </c:marker>
          <c:cat>
            <c:numRef>
              <c:f>'Real GDP Brazil'!$A$13:$A$118</c:f>
              <c:numCache>
                <c:formatCode>d/m/yy;@</c:formatCode>
                <c:ptCount val="106"/>
                <c:pt idx="0">
                  <c:v>35065</c:v>
                </c:pt>
                <c:pt idx="1">
                  <c:v>35156</c:v>
                </c:pt>
                <c:pt idx="2">
                  <c:v>35247</c:v>
                </c:pt>
                <c:pt idx="3">
                  <c:v>35339</c:v>
                </c:pt>
                <c:pt idx="4">
                  <c:v>35431</c:v>
                </c:pt>
                <c:pt idx="5">
                  <c:v>35521</c:v>
                </c:pt>
                <c:pt idx="6">
                  <c:v>35612</c:v>
                </c:pt>
                <c:pt idx="7">
                  <c:v>35704</c:v>
                </c:pt>
                <c:pt idx="8">
                  <c:v>35796</c:v>
                </c:pt>
                <c:pt idx="9">
                  <c:v>35886</c:v>
                </c:pt>
                <c:pt idx="10">
                  <c:v>35977</c:v>
                </c:pt>
                <c:pt idx="11">
                  <c:v>36069</c:v>
                </c:pt>
                <c:pt idx="12">
                  <c:v>36161</c:v>
                </c:pt>
                <c:pt idx="13">
                  <c:v>36251</c:v>
                </c:pt>
                <c:pt idx="14">
                  <c:v>36342</c:v>
                </c:pt>
                <c:pt idx="15">
                  <c:v>36434</c:v>
                </c:pt>
                <c:pt idx="16">
                  <c:v>36526</c:v>
                </c:pt>
                <c:pt idx="17">
                  <c:v>36617</c:v>
                </c:pt>
                <c:pt idx="18">
                  <c:v>36708</c:v>
                </c:pt>
                <c:pt idx="19">
                  <c:v>36800</c:v>
                </c:pt>
                <c:pt idx="20">
                  <c:v>36892</c:v>
                </c:pt>
                <c:pt idx="21">
                  <c:v>36982</c:v>
                </c:pt>
                <c:pt idx="22">
                  <c:v>37073</c:v>
                </c:pt>
                <c:pt idx="23">
                  <c:v>37165</c:v>
                </c:pt>
                <c:pt idx="24">
                  <c:v>37257</c:v>
                </c:pt>
                <c:pt idx="25">
                  <c:v>37347</c:v>
                </c:pt>
                <c:pt idx="26">
                  <c:v>37438</c:v>
                </c:pt>
                <c:pt idx="27">
                  <c:v>37530</c:v>
                </c:pt>
                <c:pt idx="28">
                  <c:v>37622</c:v>
                </c:pt>
                <c:pt idx="29">
                  <c:v>37712</c:v>
                </c:pt>
                <c:pt idx="30">
                  <c:v>37803</c:v>
                </c:pt>
                <c:pt idx="31">
                  <c:v>37895</c:v>
                </c:pt>
                <c:pt idx="32">
                  <c:v>37987</c:v>
                </c:pt>
                <c:pt idx="33">
                  <c:v>38078</c:v>
                </c:pt>
                <c:pt idx="34">
                  <c:v>38169</c:v>
                </c:pt>
                <c:pt idx="35">
                  <c:v>38261</c:v>
                </c:pt>
                <c:pt idx="36">
                  <c:v>38353</c:v>
                </c:pt>
                <c:pt idx="37">
                  <c:v>38443</c:v>
                </c:pt>
                <c:pt idx="38">
                  <c:v>38534</c:v>
                </c:pt>
                <c:pt idx="39">
                  <c:v>38626</c:v>
                </c:pt>
                <c:pt idx="40">
                  <c:v>38718</c:v>
                </c:pt>
                <c:pt idx="41">
                  <c:v>38808</c:v>
                </c:pt>
                <c:pt idx="42">
                  <c:v>38899</c:v>
                </c:pt>
                <c:pt idx="43">
                  <c:v>38991</c:v>
                </c:pt>
                <c:pt idx="44">
                  <c:v>39083</c:v>
                </c:pt>
                <c:pt idx="45">
                  <c:v>39173</c:v>
                </c:pt>
                <c:pt idx="46">
                  <c:v>39264</c:v>
                </c:pt>
                <c:pt idx="47">
                  <c:v>39356</c:v>
                </c:pt>
                <c:pt idx="48">
                  <c:v>39448</c:v>
                </c:pt>
                <c:pt idx="49">
                  <c:v>39539</c:v>
                </c:pt>
                <c:pt idx="50">
                  <c:v>39630</c:v>
                </c:pt>
                <c:pt idx="51">
                  <c:v>39722</c:v>
                </c:pt>
                <c:pt idx="52">
                  <c:v>39814</c:v>
                </c:pt>
                <c:pt idx="53">
                  <c:v>39904</c:v>
                </c:pt>
                <c:pt idx="54">
                  <c:v>39995</c:v>
                </c:pt>
                <c:pt idx="55">
                  <c:v>40087</c:v>
                </c:pt>
                <c:pt idx="56">
                  <c:v>40179</c:v>
                </c:pt>
                <c:pt idx="57">
                  <c:v>40269</c:v>
                </c:pt>
                <c:pt idx="58">
                  <c:v>40360</c:v>
                </c:pt>
                <c:pt idx="59">
                  <c:v>40452</c:v>
                </c:pt>
                <c:pt idx="60">
                  <c:v>40544</c:v>
                </c:pt>
                <c:pt idx="61">
                  <c:v>40634</c:v>
                </c:pt>
                <c:pt idx="62">
                  <c:v>40725</c:v>
                </c:pt>
                <c:pt idx="63">
                  <c:v>40817</c:v>
                </c:pt>
                <c:pt idx="64">
                  <c:v>40909</c:v>
                </c:pt>
                <c:pt idx="65">
                  <c:v>41000</c:v>
                </c:pt>
                <c:pt idx="66">
                  <c:v>41091</c:v>
                </c:pt>
                <c:pt idx="67">
                  <c:v>41183</c:v>
                </c:pt>
                <c:pt idx="68">
                  <c:v>41275</c:v>
                </c:pt>
                <c:pt idx="69">
                  <c:v>41365</c:v>
                </c:pt>
                <c:pt idx="70">
                  <c:v>41456</c:v>
                </c:pt>
                <c:pt idx="71">
                  <c:v>41548</c:v>
                </c:pt>
                <c:pt idx="72">
                  <c:v>41640</c:v>
                </c:pt>
                <c:pt idx="73">
                  <c:v>41730</c:v>
                </c:pt>
                <c:pt idx="74">
                  <c:v>41821</c:v>
                </c:pt>
                <c:pt idx="75">
                  <c:v>41913</c:v>
                </c:pt>
                <c:pt idx="76">
                  <c:v>42005</c:v>
                </c:pt>
                <c:pt idx="77">
                  <c:v>42095</c:v>
                </c:pt>
                <c:pt idx="78">
                  <c:v>42186</c:v>
                </c:pt>
                <c:pt idx="79">
                  <c:v>42278</c:v>
                </c:pt>
                <c:pt idx="80">
                  <c:v>42370</c:v>
                </c:pt>
                <c:pt idx="81">
                  <c:v>42461</c:v>
                </c:pt>
                <c:pt idx="82">
                  <c:v>42552</c:v>
                </c:pt>
                <c:pt idx="83">
                  <c:v>42644</c:v>
                </c:pt>
                <c:pt idx="84">
                  <c:v>42736</c:v>
                </c:pt>
                <c:pt idx="85">
                  <c:v>42826</c:v>
                </c:pt>
                <c:pt idx="86">
                  <c:v>42917</c:v>
                </c:pt>
                <c:pt idx="87">
                  <c:v>43009</c:v>
                </c:pt>
                <c:pt idx="88">
                  <c:v>43101</c:v>
                </c:pt>
                <c:pt idx="89">
                  <c:v>43191</c:v>
                </c:pt>
                <c:pt idx="90">
                  <c:v>43282</c:v>
                </c:pt>
                <c:pt idx="91">
                  <c:v>43374</c:v>
                </c:pt>
                <c:pt idx="92">
                  <c:v>43466</c:v>
                </c:pt>
                <c:pt idx="93">
                  <c:v>43556</c:v>
                </c:pt>
                <c:pt idx="94">
                  <c:v>43647</c:v>
                </c:pt>
                <c:pt idx="95">
                  <c:v>43739</c:v>
                </c:pt>
                <c:pt idx="96">
                  <c:v>43831</c:v>
                </c:pt>
                <c:pt idx="97">
                  <c:v>43922</c:v>
                </c:pt>
                <c:pt idx="98">
                  <c:v>44013</c:v>
                </c:pt>
                <c:pt idx="99">
                  <c:v>44105</c:v>
                </c:pt>
                <c:pt idx="100">
                  <c:v>44197</c:v>
                </c:pt>
                <c:pt idx="101">
                  <c:v>44287</c:v>
                </c:pt>
                <c:pt idx="102">
                  <c:v>44378</c:v>
                </c:pt>
                <c:pt idx="103">
                  <c:v>44470</c:v>
                </c:pt>
                <c:pt idx="104">
                  <c:v>44562</c:v>
                </c:pt>
                <c:pt idx="105">
                  <c:v>44652</c:v>
                </c:pt>
              </c:numCache>
            </c:numRef>
          </c:cat>
          <c:val>
            <c:numRef>
              <c:f>'Real GDP Brazil'!$B$13:$B$118</c:f>
              <c:numCache>
                <c:formatCode>0.0</c:formatCode>
                <c:ptCount val="106"/>
                <c:pt idx="0">
                  <c:v>170920</c:v>
                </c:pt>
                <c:pt idx="1">
                  <c:v>176708.7</c:v>
                </c:pt>
                <c:pt idx="2">
                  <c:v>189844.3</c:v>
                </c:pt>
                <c:pt idx="3">
                  <c:v>184112.9</c:v>
                </c:pt>
                <c:pt idx="4">
                  <c:v>176732.3</c:v>
                </c:pt>
                <c:pt idx="5">
                  <c:v>185109.5</c:v>
                </c:pt>
                <c:pt idx="6">
                  <c:v>193244.9</c:v>
                </c:pt>
                <c:pt idx="7">
                  <c:v>190996</c:v>
                </c:pt>
                <c:pt idx="8">
                  <c:v>178513</c:v>
                </c:pt>
                <c:pt idx="9">
                  <c:v>187904</c:v>
                </c:pt>
                <c:pt idx="10">
                  <c:v>193932.1</c:v>
                </c:pt>
                <c:pt idx="11">
                  <c:v>188256.1</c:v>
                </c:pt>
                <c:pt idx="12">
                  <c:v>179883.3</c:v>
                </c:pt>
                <c:pt idx="13">
                  <c:v>187151</c:v>
                </c:pt>
                <c:pt idx="14">
                  <c:v>192737</c:v>
                </c:pt>
                <c:pt idx="15">
                  <c:v>192336.8</c:v>
                </c:pt>
                <c:pt idx="16">
                  <c:v>187799.5</c:v>
                </c:pt>
                <c:pt idx="17">
                  <c:v>194596.6</c:v>
                </c:pt>
                <c:pt idx="18">
                  <c:v>201534.7</c:v>
                </c:pt>
                <c:pt idx="19">
                  <c:v>201179.5</c:v>
                </c:pt>
                <c:pt idx="20">
                  <c:v>194325.7</c:v>
                </c:pt>
                <c:pt idx="21">
                  <c:v>199123</c:v>
                </c:pt>
                <c:pt idx="22">
                  <c:v>202464.1</c:v>
                </c:pt>
                <c:pt idx="23">
                  <c:v>200109.7</c:v>
                </c:pt>
                <c:pt idx="24">
                  <c:v>195252.5</c:v>
                </c:pt>
                <c:pt idx="25">
                  <c:v>203699.3</c:v>
                </c:pt>
                <c:pt idx="26">
                  <c:v>210916.4</c:v>
                </c:pt>
                <c:pt idx="27">
                  <c:v>210460.6</c:v>
                </c:pt>
                <c:pt idx="28">
                  <c:v>200459.9</c:v>
                </c:pt>
                <c:pt idx="29">
                  <c:v>205290.7</c:v>
                </c:pt>
                <c:pt idx="30">
                  <c:v>212237.1</c:v>
                </c:pt>
                <c:pt idx="31">
                  <c:v>211699.6</c:v>
                </c:pt>
                <c:pt idx="32">
                  <c:v>208233.9</c:v>
                </c:pt>
                <c:pt idx="33">
                  <c:v>218240.9</c:v>
                </c:pt>
                <c:pt idx="34">
                  <c:v>226157.4</c:v>
                </c:pt>
                <c:pt idx="35">
                  <c:v>224844.79999999999</c:v>
                </c:pt>
                <c:pt idx="36">
                  <c:v>216947.1</c:v>
                </c:pt>
                <c:pt idx="37">
                  <c:v>228007.2</c:v>
                </c:pt>
                <c:pt idx="38">
                  <c:v>230940.5</c:v>
                </c:pt>
                <c:pt idx="39">
                  <c:v>229680.2</c:v>
                </c:pt>
                <c:pt idx="40">
                  <c:v>226230.5</c:v>
                </c:pt>
                <c:pt idx="41">
                  <c:v>233213.3</c:v>
                </c:pt>
                <c:pt idx="42">
                  <c:v>241316.2</c:v>
                </c:pt>
                <c:pt idx="43">
                  <c:v>240693.9</c:v>
                </c:pt>
                <c:pt idx="44">
                  <c:v>237982.4</c:v>
                </c:pt>
                <c:pt idx="45">
                  <c:v>248459</c:v>
                </c:pt>
                <c:pt idx="46">
                  <c:v>255482.1</c:v>
                </c:pt>
                <c:pt idx="47">
                  <c:v>256675.3</c:v>
                </c:pt>
                <c:pt idx="48">
                  <c:v>252636</c:v>
                </c:pt>
                <c:pt idx="49">
                  <c:v>264201.7</c:v>
                </c:pt>
                <c:pt idx="50">
                  <c:v>273316.8</c:v>
                </c:pt>
                <c:pt idx="51">
                  <c:v>259314.9</c:v>
                </c:pt>
                <c:pt idx="52">
                  <c:v>246506.9</c:v>
                </c:pt>
                <c:pt idx="53">
                  <c:v>258381.4</c:v>
                </c:pt>
                <c:pt idx="54">
                  <c:v>270139.09999999998</c:v>
                </c:pt>
                <c:pt idx="55">
                  <c:v>273121.7</c:v>
                </c:pt>
                <c:pt idx="56">
                  <c:v>269207.90000000002</c:v>
                </c:pt>
                <c:pt idx="57">
                  <c:v>280389.59999999998</c:v>
                </c:pt>
                <c:pt idx="58">
                  <c:v>288798</c:v>
                </c:pt>
                <c:pt idx="59">
                  <c:v>288660.5</c:v>
                </c:pt>
                <c:pt idx="60">
                  <c:v>283193.59999999998</c:v>
                </c:pt>
                <c:pt idx="61">
                  <c:v>293569.3</c:v>
                </c:pt>
                <c:pt idx="62">
                  <c:v>299013.8</c:v>
                </c:pt>
                <c:pt idx="63">
                  <c:v>296073.3</c:v>
                </c:pt>
                <c:pt idx="64">
                  <c:v>288028.3</c:v>
                </c:pt>
                <c:pt idx="65">
                  <c:v>296465.3</c:v>
                </c:pt>
                <c:pt idx="66">
                  <c:v>306445.5</c:v>
                </c:pt>
                <c:pt idx="67">
                  <c:v>303424.2</c:v>
                </c:pt>
                <c:pt idx="68">
                  <c:v>295865.90000000002</c:v>
                </c:pt>
                <c:pt idx="69">
                  <c:v>308388.7</c:v>
                </c:pt>
                <c:pt idx="70">
                  <c:v>314900.2</c:v>
                </c:pt>
                <c:pt idx="71">
                  <c:v>311097</c:v>
                </c:pt>
                <c:pt idx="72">
                  <c:v>306130.2</c:v>
                </c:pt>
                <c:pt idx="73">
                  <c:v>307046.09999999998</c:v>
                </c:pt>
                <c:pt idx="74">
                  <c:v>312888.7</c:v>
                </c:pt>
                <c:pt idx="75">
                  <c:v>310386.8</c:v>
                </c:pt>
                <c:pt idx="76">
                  <c:v>301174.2</c:v>
                </c:pt>
                <c:pt idx="77">
                  <c:v>298633.09999999998</c:v>
                </c:pt>
                <c:pt idx="78">
                  <c:v>299550.59999999998</c:v>
                </c:pt>
                <c:pt idx="79">
                  <c:v>293252.2</c:v>
                </c:pt>
                <c:pt idx="80">
                  <c:v>285693.3</c:v>
                </c:pt>
                <c:pt idx="81">
                  <c:v>289016.7</c:v>
                </c:pt>
                <c:pt idx="82">
                  <c:v>292199.59999999998</c:v>
                </c:pt>
                <c:pt idx="83">
                  <c:v>286631.59999999998</c:v>
                </c:pt>
                <c:pt idx="84">
                  <c:v>286522.90000000002</c:v>
                </c:pt>
                <c:pt idx="85">
                  <c:v>291312.90000000002</c:v>
                </c:pt>
                <c:pt idx="86">
                  <c:v>296991.90000000002</c:v>
                </c:pt>
                <c:pt idx="87">
                  <c:v>293973.3</c:v>
                </c:pt>
                <c:pt idx="88">
                  <c:v>291881.8</c:v>
                </c:pt>
                <c:pt idx="89">
                  <c:v>295940</c:v>
                </c:pt>
                <c:pt idx="90">
                  <c:v>303107.20000000001</c:v>
                </c:pt>
                <c:pt idx="91">
                  <c:v>298719.59999999998</c:v>
                </c:pt>
                <c:pt idx="92">
                  <c:v>294929.8</c:v>
                </c:pt>
                <c:pt idx="93">
                  <c:v>299767.59999999998</c:v>
                </c:pt>
                <c:pt idx="94">
                  <c:v>306442.40000000002</c:v>
                </c:pt>
                <c:pt idx="95">
                  <c:v>303031.7</c:v>
                </c:pt>
                <c:pt idx="96">
                  <c:v>294560.09999999998</c:v>
                </c:pt>
                <c:pt idx="97">
                  <c:v>267589.8</c:v>
                </c:pt>
                <c:pt idx="98">
                  <c:v>295084.3</c:v>
                </c:pt>
                <c:pt idx="99">
                  <c:v>300231.5</c:v>
                </c:pt>
                <c:pt idx="100">
                  <c:v>298350.40000000002</c:v>
                </c:pt>
                <c:pt idx="101">
                  <c:v>300500</c:v>
                </c:pt>
                <c:pt idx="102">
                  <c:v>306899.40000000002</c:v>
                </c:pt>
                <c:pt idx="103">
                  <c:v>305183.90000000002</c:v>
                </c:pt>
                <c:pt idx="104">
                  <c:v>303390.8</c:v>
                </c:pt>
                <c:pt idx="105">
                  <c:v>310255.09999999998</c:v>
                </c:pt>
              </c:numCache>
            </c:numRef>
          </c:val>
          <c:smooth val="0"/>
          <c:extLst>
            <c:ext xmlns:c16="http://schemas.microsoft.com/office/drawing/2014/chart" uri="{C3380CC4-5D6E-409C-BE32-E72D297353CC}">
              <c16:uniqueId val="{00000000-F1F4-2449-A3A4-10CB3B6EACC8}"/>
            </c:ext>
          </c:extLst>
        </c:ser>
        <c:dLbls>
          <c:showLegendKey val="0"/>
          <c:showVal val="0"/>
          <c:showCatName val="0"/>
          <c:showSerName val="0"/>
          <c:showPercent val="0"/>
          <c:showBubbleSize val="0"/>
        </c:dLbls>
        <c:smooth val="0"/>
        <c:axId val="891781967"/>
        <c:axId val="1114746927"/>
      </c:lineChart>
      <c:dateAx>
        <c:axId val="891781967"/>
        <c:scaling>
          <c:orientation val="minMax"/>
        </c:scaling>
        <c:delete val="0"/>
        <c:axPos val="b"/>
        <c:numFmt formatCode="d/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114746927"/>
        <c:crosses val="autoZero"/>
        <c:auto val="1"/>
        <c:lblOffset val="100"/>
        <c:baseTimeUnit val="months"/>
      </c:dateAx>
      <c:valAx>
        <c:axId val="1114746927"/>
        <c:scaling>
          <c:orientation val="minMax"/>
          <c:min val="1500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891781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it-IT"/>
              <a:t>Variabile X 1 Tracciato dei residui</a:t>
            </a:r>
          </a:p>
        </c:rich>
      </c:tx>
      <c:overlay val="0"/>
    </c:title>
    <c:autoTitleDeleted val="0"/>
    <c:plotArea>
      <c:layout/>
      <c:scatterChart>
        <c:scatterStyle val="lineMarker"/>
        <c:varyColors val="0"/>
        <c:ser>
          <c:idx val="0"/>
          <c:order val="0"/>
          <c:spPr>
            <a:ln w="19050">
              <a:noFill/>
            </a:ln>
          </c:spPr>
          <c:xVal>
            <c:numRef>
              <c:f>'Regression_Brazil '!$G$2:$G$81</c:f>
              <c:numCache>
                <c:formatCode>General</c:formatCode>
                <c:ptCount val="80"/>
                <c:pt idx="0">
                  <c:v>12.14313018334594</c:v>
                </c:pt>
                <c:pt idx="1">
                  <c:v>12.178683976844512</c:v>
                </c:pt>
                <c:pt idx="2">
                  <c:v>12.213716853979429</c:v>
                </c:pt>
                <c:pt idx="3">
                  <c:v>12.211952823348726</c:v>
                </c:pt>
                <c:pt idx="4">
                  <c:v>12.17729089630472</c:v>
                </c:pt>
                <c:pt idx="5">
                  <c:v>12.201678003219662</c:v>
                </c:pt>
                <c:pt idx="6">
                  <c:v>12.218317865861456</c:v>
                </c:pt>
                <c:pt idx="7">
                  <c:v>12.206620995159032</c:v>
                </c:pt>
                <c:pt idx="8">
                  <c:v>12.182048871717273</c:v>
                </c:pt>
                <c:pt idx="9">
                  <c:v>12.224400165782876</c:v>
                </c:pt>
                <c:pt idx="10">
                  <c:v>12.259217125416059</c:v>
                </c:pt>
                <c:pt idx="11">
                  <c:v>12.257053741188772</c:v>
                </c:pt>
                <c:pt idx="12">
                  <c:v>12.208369505726093</c:v>
                </c:pt>
                <c:pt idx="13">
                  <c:v>12.232182302419352</c:v>
                </c:pt>
                <c:pt idx="14">
                  <c:v>12.265459324941414</c:v>
                </c:pt>
                <c:pt idx="15">
                  <c:v>12.262923567654946</c:v>
                </c:pt>
                <c:pt idx="16">
                  <c:v>12.246417246116076</c:v>
                </c:pt>
                <c:pt idx="17">
                  <c:v>12.293354777529025</c:v>
                </c:pt>
                <c:pt idx="18">
                  <c:v>12.328986496015574</c:v>
                </c:pt>
                <c:pt idx="19">
                  <c:v>12.323165665402634</c:v>
                </c:pt>
                <c:pt idx="20">
                  <c:v>12.28740882400187</c:v>
                </c:pt>
                <c:pt idx="21">
                  <c:v>12.337132486385341</c:v>
                </c:pt>
                <c:pt idx="22">
                  <c:v>12.349915380568023</c:v>
                </c:pt>
                <c:pt idx="23">
                  <c:v>12.344443185571299</c:v>
                </c:pt>
                <c:pt idx="24">
                  <c:v>12.329309670002482</c:v>
                </c:pt>
                <c:pt idx="25">
                  <c:v>12.35970876442223</c:v>
                </c:pt>
                <c:pt idx="26">
                  <c:v>12.393863385704378</c:v>
                </c:pt>
                <c:pt idx="27">
                  <c:v>12.391281280699719</c:v>
                </c:pt>
                <c:pt idx="28">
                  <c:v>12.379952000339374</c:v>
                </c:pt>
                <c:pt idx="29">
                  <c:v>12.423033120966846</c:v>
                </c:pt>
                <c:pt idx="30">
                  <c:v>12.450907627463256</c:v>
                </c:pt>
                <c:pt idx="31">
                  <c:v>12.455567140959703</c:v>
                </c:pt>
                <c:pt idx="32">
                  <c:v>12.439704996558556</c:v>
                </c:pt>
                <c:pt idx="33">
                  <c:v>12.484468105568965</c:v>
                </c:pt>
                <c:pt idx="34">
                  <c:v>12.518386840937987</c:v>
                </c:pt>
                <c:pt idx="35">
                  <c:v>12.465798432274621</c:v>
                </c:pt>
                <c:pt idx="36">
                  <c:v>12.415145263959525</c:v>
                </c:pt>
                <c:pt idx="37">
                  <c:v>12.462192066875648</c:v>
                </c:pt>
                <c:pt idx="38">
                  <c:v>12.506692290503372</c:v>
                </c:pt>
                <c:pt idx="39">
                  <c:v>12.517672762379137</c:v>
                </c:pt>
                <c:pt idx="40">
                  <c:v>12.503239222533114</c:v>
                </c:pt>
                <c:pt idx="41">
                  <c:v>12.543935343583113</c:v>
                </c:pt>
                <c:pt idx="42">
                  <c:v>12.573482760769073</c:v>
                </c:pt>
                <c:pt idx="43">
                  <c:v>12.573006536061675</c:v>
                </c:pt>
                <c:pt idx="44">
                  <c:v>12.553886041676288</c:v>
                </c:pt>
                <c:pt idx="45">
                  <c:v>12.5898690062226</c:v>
                </c:pt>
                <c:pt idx="46">
                  <c:v>12.608245005153922</c:v>
                </c:pt>
                <c:pt idx="47">
                  <c:v>12.598362337784813</c:v>
                </c:pt>
                <c:pt idx="48">
                  <c:v>12.570814018179393</c:v>
                </c:pt>
                <c:pt idx="49">
                  <c:v>12.599685458530661</c:v>
                </c:pt>
                <c:pt idx="50">
                  <c:v>12.632795204518251</c:v>
                </c:pt>
                <c:pt idx="51">
                  <c:v>12.622887105405214</c:v>
                </c:pt>
                <c:pt idx="52">
                  <c:v>12.597661590111786</c:v>
                </c:pt>
                <c:pt idx="53">
                  <c:v>12.639116279273694</c:v>
                </c:pt>
                <c:pt idx="54">
                  <c:v>12.660011042211176</c:v>
                </c:pt>
                <c:pt idx="55">
                  <c:v>12.64786003963769</c:v>
                </c:pt>
                <c:pt idx="56">
                  <c:v>12.631765780635313</c:v>
                </c:pt>
                <c:pt idx="57">
                  <c:v>12.63475317816247</c:v>
                </c:pt>
                <c:pt idx="58">
                  <c:v>12.653602815230487</c:v>
                </c:pt>
                <c:pt idx="59">
                  <c:v>12.645574540613758</c:v>
                </c:pt>
                <c:pt idx="60">
                  <c:v>12.615444113868556</c:v>
                </c:pt>
                <c:pt idx="61">
                  <c:v>12.606971008580052</c:v>
                </c:pt>
                <c:pt idx="62">
                  <c:v>12.610038630514572</c:v>
                </c:pt>
                <c:pt idx="63">
                  <c:v>12.588788268618869</c:v>
                </c:pt>
                <c:pt idx="64">
                  <c:v>12.562674136771323</c:v>
                </c:pt>
                <c:pt idx="65">
                  <c:v>12.574239750892181</c:v>
                </c:pt>
                <c:pt idx="66">
                  <c:v>12.585192409372405</c:v>
                </c:pt>
                <c:pt idx="67">
                  <c:v>12.565953046497802</c:v>
                </c:pt>
                <c:pt idx="68">
                  <c:v>12.565573742134656</c:v>
                </c:pt>
                <c:pt idx="69">
                  <c:v>12.582153226210057</c:v>
                </c:pt>
                <c:pt idx="70">
                  <c:v>12.601460144685657</c:v>
                </c:pt>
                <c:pt idx="71">
                  <c:v>12.591244225870236</c:v>
                </c:pt>
                <c:pt idx="72">
                  <c:v>12.584104204778452</c:v>
                </c:pt>
                <c:pt idx="73">
                  <c:v>12.597912010056525</c:v>
                </c:pt>
                <c:pt idx="74">
                  <c:v>12.621841817300217</c:v>
                </c:pt>
                <c:pt idx="75">
                  <c:v>12.607260619728054</c:v>
                </c:pt>
                <c:pt idx="76">
                  <c:v>12.594492640901837</c:v>
                </c:pt>
                <c:pt idx="77">
                  <c:v>12.610762786762399</c:v>
                </c:pt>
                <c:pt idx="78">
                  <c:v>12.632785088475822</c:v>
                </c:pt>
                <c:pt idx="79">
                  <c:v>12.621592699481214</c:v>
                </c:pt>
              </c:numCache>
            </c:numRef>
          </c:xVal>
          <c:yVal>
            <c:numRef>
              <c:f>'Regression_Brazil '!$C$111:$C$190</c:f>
              <c:numCache>
                <c:formatCode>General</c:formatCode>
                <c:ptCount val="80"/>
                <c:pt idx="0">
                  <c:v>0.19870789403196198</c:v>
                </c:pt>
                <c:pt idx="1">
                  <c:v>2.5365475473602572E-2</c:v>
                </c:pt>
                <c:pt idx="2">
                  <c:v>1.8116301459016881E-3</c:v>
                </c:pt>
                <c:pt idx="3">
                  <c:v>4.0022625633433506E-2</c:v>
                </c:pt>
                <c:pt idx="4">
                  <c:v>0.17151248834818844</c:v>
                </c:pt>
                <c:pt idx="5">
                  <c:v>-1.2028131620667182E-2</c:v>
                </c:pt>
                <c:pt idx="6">
                  <c:v>2.5838687171216179E-2</c:v>
                </c:pt>
                <c:pt idx="7">
                  <c:v>6.3949859571742707E-2</c:v>
                </c:pt>
                <c:pt idx="8">
                  <c:v>0.10631830082891724</c:v>
                </c:pt>
                <c:pt idx="9">
                  <c:v>-8.7589411077452439E-2</c:v>
                </c:pt>
                <c:pt idx="10">
                  <c:v>-0.10084185057828066</c:v>
                </c:pt>
                <c:pt idx="11">
                  <c:v>-0.21352385043451605</c:v>
                </c:pt>
                <c:pt idx="12">
                  <c:v>5.4843201813636E-2</c:v>
                </c:pt>
                <c:pt idx="13">
                  <c:v>-7.2417447150844083E-2</c:v>
                </c:pt>
                <c:pt idx="14">
                  <c:v>-4.435091367949795E-2</c:v>
                </c:pt>
                <c:pt idx="15">
                  <c:v>-0.12236025941308881</c:v>
                </c:pt>
                <c:pt idx="16">
                  <c:v>-3.5249619121405118E-2</c:v>
                </c:pt>
                <c:pt idx="17">
                  <c:v>-0.19185079188628507</c:v>
                </c:pt>
                <c:pt idx="18">
                  <c:v>-0.22116920847394184</c:v>
                </c:pt>
                <c:pt idx="19">
                  <c:v>-0.14218665003089015</c:v>
                </c:pt>
                <c:pt idx="20">
                  <c:v>7.569636866168139E-2</c:v>
                </c:pt>
                <c:pt idx="21">
                  <c:v>-0.12385298686803381</c:v>
                </c:pt>
                <c:pt idx="22">
                  <c:v>3.2741686072228049E-2</c:v>
                </c:pt>
                <c:pt idx="23">
                  <c:v>8.4810830496351741E-2</c:v>
                </c:pt>
                <c:pt idx="24">
                  <c:v>0.18797432729422425</c:v>
                </c:pt>
                <c:pt idx="25">
                  <c:v>4.5243767322574513E-2</c:v>
                </c:pt>
                <c:pt idx="26">
                  <c:v>4.0916940393067591E-3</c:v>
                </c:pt>
                <c:pt idx="27">
                  <c:v>1.3571617081836962E-2</c:v>
                </c:pt>
                <c:pt idx="28">
                  <c:v>9.3459218136661804E-2</c:v>
                </c:pt>
                <c:pt idx="29">
                  <c:v>-5.1445552680235096E-2</c:v>
                </c:pt>
                <c:pt idx="30">
                  <c:v>-0.15709321311278401</c:v>
                </c:pt>
                <c:pt idx="31">
                  <c:v>-3.6689116877443695E-2</c:v>
                </c:pt>
                <c:pt idx="32">
                  <c:v>6.2272344794155998E-2</c:v>
                </c:pt>
                <c:pt idx="33">
                  <c:v>-7.001507705768617E-2</c:v>
                </c:pt>
                <c:pt idx="34">
                  <c:v>-0.19071455579086916</c:v>
                </c:pt>
                <c:pt idx="35">
                  <c:v>1.416865616892693E-3</c:v>
                </c:pt>
                <c:pt idx="36">
                  <c:v>0.12718127888161135</c:v>
                </c:pt>
                <c:pt idx="37">
                  <c:v>-8.3316028914971696E-2</c:v>
                </c:pt>
                <c:pt idx="38">
                  <c:v>-0.10804993082188119</c:v>
                </c:pt>
                <c:pt idx="39">
                  <c:v>-1.4139138620290481E-2</c:v>
                </c:pt>
                <c:pt idx="40">
                  <c:v>0.10372602584776303</c:v>
                </c:pt>
                <c:pt idx="41">
                  <c:v>-0.15898225022765189</c:v>
                </c:pt>
                <c:pt idx="42">
                  <c:v>-5.8095880057667415E-2</c:v>
                </c:pt>
                <c:pt idx="43">
                  <c:v>-3.5785509183060782E-2</c:v>
                </c:pt>
                <c:pt idx="44">
                  <c:v>0.10877829553042773</c:v>
                </c:pt>
                <c:pt idx="45">
                  <c:v>-2.9283026795468459E-2</c:v>
                </c:pt>
                <c:pt idx="46">
                  <c:v>2.205713430253553E-2</c:v>
                </c:pt>
                <c:pt idx="47">
                  <c:v>3.7304598455683902E-2</c:v>
                </c:pt>
                <c:pt idx="48">
                  <c:v>0.16624214323395137</c:v>
                </c:pt>
                <c:pt idx="49">
                  <c:v>2.7023868989900279E-2</c:v>
                </c:pt>
                <c:pt idx="50">
                  <c:v>-4.0184961708611411E-3</c:v>
                </c:pt>
                <c:pt idx="51">
                  <c:v>3.666134181901981E-3</c:v>
                </c:pt>
                <c:pt idx="52">
                  <c:v>5.6024991833897531E-2</c:v>
                </c:pt>
                <c:pt idx="53">
                  <c:v>-0.10798177752390714</c:v>
                </c:pt>
                <c:pt idx="54">
                  <c:v>-0.12641898987831013</c:v>
                </c:pt>
                <c:pt idx="55">
                  <c:v>-3.9318151232421883E-2</c:v>
                </c:pt>
                <c:pt idx="56">
                  <c:v>2.2678936853434806E-2</c:v>
                </c:pt>
                <c:pt idx="57">
                  <c:v>-0.1258173189753542</c:v>
                </c:pt>
                <c:pt idx="58">
                  <c:v>-9.1011522217801399E-2</c:v>
                </c:pt>
                <c:pt idx="59">
                  <c:v>-6.95996599079578E-2</c:v>
                </c:pt>
                <c:pt idx="60">
                  <c:v>2.1416608099691814E-2</c:v>
                </c:pt>
                <c:pt idx="61">
                  <c:v>-0.1165272339013903</c:v>
                </c:pt>
                <c:pt idx="62">
                  <c:v>2.127983699534397E-2</c:v>
                </c:pt>
                <c:pt idx="63">
                  <c:v>7.3783184837367344E-2</c:v>
                </c:pt>
                <c:pt idx="64">
                  <c:v>0.10457474112475396</c:v>
                </c:pt>
                <c:pt idx="65">
                  <c:v>-4.7741297393805837E-2</c:v>
                </c:pt>
                <c:pt idx="66">
                  <c:v>3.2127568924341432E-2</c:v>
                </c:pt>
                <c:pt idx="67">
                  <c:v>0.16788234482458719</c:v>
                </c:pt>
                <c:pt idx="68">
                  <c:v>0.17355126257821496</c:v>
                </c:pt>
                <c:pt idx="69">
                  <c:v>2.7438602437193538E-2</c:v>
                </c:pt>
                <c:pt idx="70">
                  <c:v>2.046835807352565E-2</c:v>
                </c:pt>
                <c:pt idx="71">
                  <c:v>5.7613314053675424E-2</c:v>
                </c:pt>
                <c:pt idx="72">
                  <c:v>0.12470278770165422</c:v>
                </c:pt>
                <c:pt idx="73">
                  <c:v>-6.4833280813267891E-3</c:v>
                </c:pt>
                <c:pt idx="74">
                  <c:v>5.910102026987829E-2</c:v>
                </c:pt>
                <c:pt idx="75">
                  <c:v>0.12389560102238306</c:v>
                </c:pt>
                <c:pt idx="76">
                  <c:v>0.1521099588746182</c:v>
                </c:pt>
                <c:pt idx="77">
                  <c:v>-8.1103093849161922E-2</c:v>
                </c:pt>
                <c:pt idx="78">
                  <c:v>-1.1135677788185916E-2</c:v>
                </c:pt>
                <c:pt idx="79">
                  <c:v>6.3909466933285586E-2</c:v>
                </c:pt>
              </c:numCache>
            </c:numRef>
          </c:yVal>
          <c:smooth val="0"/>
          <c:extLst>
            <c:ext xmlns:c16="http://schemas.microsoft.com/office/drawing/2014/chart" uri="{C3380CC4-5D6E-409C-BE32-E72D297353CC}">
              <c16:uniqueId val="{00000001-2992-C44B-A806-BD84393C7568}"/>
            </c:ext>
          </c:extLst>
        </c:ser>
        <c:dLbls>
          <c:showLegendKey val="0"/>
          <c:showVal val="0"/>
          <c:showCatName val="0"/>
          <c:showSerName val="0"/>
          <c:showPercent val="0"/>
          <c:showBubbleSize val="0"/>
        </c:dLbls>
        <c:axId val="592359248"/>
        <c:axId val="592342192"/>
      </c:scatterChart>
      <c:valAx>
        <c:axId val="592359248"/>
        <c:scaling>
          <c:orientation val="minMax"/>
        </c:scaling>
        <c:delete val="0"/>
        <c:axPos val="b"/>
        <c:title>
          <c:tx>
            <c:rich>
              <a:bodyPr/>
              <a:lstStyle/>
              <a:p>
                <a:pPr>
                  <a:defRPr/>
                </a:pPr>
                <a:r>
                  <a:rPr lang="it-IT"/>
                  <a:t>Variabile X 1</a:t>
                </a:r>
              </a:p>
            </c:rich>
          </c:tx>
          <c:overlay val="0"/>
        </c:title>
        <c:numFmt formatCode="General" sourceLinked="1"/>
        <c:majorTickMark val="out"/>
        <c:minorTickMark val="none"/>
        <c:tickLblPos val="nextTo"/>
        <c:crossAx val="592342192"/>
        <c:crosses val="autoZero"/>
        <c:crossBetween val="midCat"/>
      </c:valAx>
      <c:valAx>
        <c:axId val="592342192"/>
        <c:scaling>
          <c:orientation val="minMax"/>
        </c:scaling>
        <c:delete val="0"/>
        <c:axPos val="l"/>
        <c:title>
          <c:tx>
            <c:rich>
              <a:bodyPr/>
              <a:lstStyle/>
              <a:p>
                <a:pPr>
                  <a:defRPr/>
                </a:pPr>
                <a:r>
                  <a:rPr lang="it-IT"/>
                  <a:t>Residui</a:t>
                </a:r>
              </a:p>
            </c:rich>
          </c:tx>
          <c:overlay val="0"/>
        </c:title>
        <c:numFmt formatCode="General" sourceLinked="1"/>
        <c:majorTickMark val="out"/>
        <c:minorTickMark val="none"/>
        <c:tickLblPos val="nextTo"/>
        <c:crossAx val="592359248"/>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it-IT"/>
              <a:t>Variabile X 2 Tracciato dei residui</a:t>
            </a:r>
          </a:p>
        </c:rich>
      </c:tx>
      <c:overlay val="0"/>
    </c:title>
    <c:autoTitleDeleted val="0"/>
    <c:plotArea>
      <c:layout/>
      <c:scatterChart>
        <c:scatterStyle val="lineMarker"/>
        <c:varyColors val="0"/>
        <c:ser>
          <c:idx val="0"/>
          <c:order val="0"/>
          <c:spPr>
            <a:ln w="19050">
              <a:noFill/>
            </a:ln>
          </c:spPr>
          <c:xVal>
            <c:numRef>
              <c:f>'Regression_Brazil '!$H$2:$H$81</c:f>
              <c:numCache>
                <c:formatCode>General</c:formatCode>
                <c:ptCount val="80"/>
                <c:pt idx="0">
                  <c:v>-0.42719960076515678</c:v>
                </c:pt>
                <c:pt idx="1">
                  <c:v>-0.25188602060868026</c:v>
                </c:pt>
                <c:pt idx="2">
                  <c:v>-0.28059612650360133</c:v>
                </c:pt>
                <c:pt idx="3">
                  <c:v>-0.1005572553599107</c:v>
                </c:pt>
                <c:pt idx="4">
                  <c:v>-4.3255508322888943E-2</c:v>
                </c:pt>
                <c:pt idx="5">
                  <c:v>-0.20948722486672405</c:v>
                </c:pt>
                <c:pt idx="6">
                  <c:v>-0.24079848655293046</c:v>
                </c:pt>
                <c:pt idx="7">
                  <c:v>-0.30426322714732174</c:v>
                </c:pt>
                <c:pt idx="8">
                  <c:v>-0.57981849525294205</c:v>
                </c:pt>
                <c:pt idx="9">
                  <c:v>-0.55978246907595219</c:v>
                </c:pt>
                <c:pt idx="10">
                  <c:v>-0.41148317993070932</c:v>
                </c:pt>
                <c:pt idx="11">
                  <c:v>-0.30426322714732174</c:v>
                </c:pt>
                <c:pt idx="12">
                  <c:v>-0.26179775786266352</c:v>
                </c:pt>
                <c:pt idx="13">
                  <c:v>-5.6570351488394351E-2</c:v>
                </c:pt>
                <c:pt idx="14">
                  <c:v>-0.3078847797693004</c:v>
                </c:pt>
                <c:pt idx="15">
                  <c:v>-0.24803410058650391</c:v>
                </c:pt>
                <c:pt idx="16">
                  <c:v>-0.17157946065777865</c:v>
                </c:pt>
                <c:pt idx="17">
                  <c:v>-4.1516680550397124E-2</c:v>
                </c:pt>
                <c:pt idx="18">
                  <c:v>3.1821612000062893E-2</c:v>
                </c:pt>
                <c:pt idx="19">
                  <c:v>0.21886775671923045</c:v>
                </c:pt>
                <c:pt idx="20">
                  <c:v>0.30993268114210187</c:v>
                </c:pt>
                <c:pt idx="21">
                  <c:v>0.34358970439007686</c:v>
                </c:pt>
                <c:pt idx="22">
                  <c:v>0.44852459756861141</c:v>
                </c:pt>
                <c:pt idx="23">
                  <c:v>0.65423308723399987</c:v>
                </c:pt>
                <c:pt idx="24">
                  <c:v>0.66320330418687323</c:v>
                </c:pt>
                <c:pt idx="25">
                  <c:v>0.59608546771681403</c:v>
                </c:pt>
                <c:pt idx="26">
                  <c:v>0.72996115368266168</c:v>
                </c:pt>
                <c:pt idx="27">
                  <c:v>0.7091845580935543</c:v>
                </c:pt>
                <c:pt idx="28">
                  <c:v>0.565692525396153</c:v>
                </c:pt>
                <c:pt idx="29">
                  <c:v>0.55770920985568073</c:v>
                </c:pt>
                <c:pt idx="30">
                  <c:v>0.7225441575725714</c:v>
                </c:pt>
                <c:pt idx="31">
                  <c:v>0.7722663851665329</c:v>
                </c:pt>
                <c:pt idx="32">
                  <c:v>0.93557034673689865</c:v>
                </c:pt>
                <c:pt idx="33">
                  <c:v>1.0363822121319755</c:v>
                </c:pt>
                <c:pt idx="34">
                  <c:v>1.2975542178564001</c:v>
                </c:pt>
                <c:pt idx="35">
                  <c:v>1.255805953060902</c:v>
                </c:pt>
                <c:pt idx="36">
                  <c:v>0.61878276545061617</c:v>
                </c:pt>
                <c:pt idx="37">
                  <c:v>0.28668157211819745</c:v>
                </c:pt>
                <c:pt idx="38">
                  <c:v>0.44083225194545572</c:v>
                </c:pt>
                <c:pt idx="39">
                  <c:v>0.5777363290486176</c:v>
                </c:pt>
                <c:pt idx="40">
                  <c:v>0.67752579965698856</c:v>
                </c:pt>
                <c:pt idx="41">
                  <c:v>0.717677178465851</c:v>
                </c:pt>
                <c:pt idx="42">
                  <c:v>0.75204482165029685</c:v>
                </c:pt>
                <c:pt idx="43">
                  <c:v>0.72851432439723662</c:v>
                </c:pt>
                <c:pt idx="44">
                  <c:v>0.85072056752233682</c:v>
                </c:pt>
                <c:pt idx="45">
                  <c:v>1.0511712140679732</c:v>
                </c:pt>
                <c:pt idx="46">
                  <c:v>1.1418846121189199</c:v>
                </c:pt>
                <c:pt idx="47">
                  <c:v>1.1082325320451003</c:v>
                </c:pt>
                <c:pt idx="48">
                  <c:v>1.0857521730510542</c:v>
                </c:pt>
                <c:pt idx="49">
                  <c:v>1.1579288657198172</c:v>
                </c:pt>
                <c:pt idx="50">
                  <c:v>1.0849640176310957</c:v>
                </c:pt>
                <c:pt idx="51">
                  <c:v>1.1248213661287352</c:v>
                </c:pt>
                <c:pt idx="52">
                  <c:v>1.0998337646957661</c:v>
                </c:pt>
                <c:pt idx="53">
                  <c:v>1.129033717769224</c:v>
                </c:pt>
                <c:pt idx="54">
                  <c:v>1.0178841608422844</c:v>
                </c:pt>
                <c:pt idx="55">
                  <c:v>1.0796559699317929</c:v>
                </c:pt>
                <c:pt idx="56">
                  <c:v>1.0612565021243408</c:v>
                </c:pt>
                <c:pt idx="57">
                  <c:v>1.0734084341908723</c:v>
                </c:pt>
                <c:pt idx="58">
                  <c:v>1.0576745468243915</c:v>
                </c:pt>
                <c:pt idx="59">
                  <c:v>1.0278321066070624</c:v>
                </c:pt>
                <c:pt idx="60">
                  <c:v>0.78207338975434681</c:v>
                </c:pt>
                <c:pt idx="61">
                  <c:v>0.48878449268465329</c:v>
                </c:pt>
                <c:pt idx="62">
                  <c:v>0.56588182951406907</c:v>
                </c:pt>
                <c:pt idx="63">
                  <c:v>0.36764785385887577</c:v>
                </c:pt>
                <c:pt idx="64">
                  <c:v>0.23612558527415162</c:v>
                </c:pt>
                <c:pt idx="65">
                  <c:v>-9.3771614761232608E-3</c:v>
                </c:pt>
                <c:pt idx="66">
                  <c:v>0.24373018492259815</c:v>
                </c:pt>
                <c:pt idx="67">
                  <c:v>0.25876806202980468</c:v>
                </c:pt>
                <c:pt idx="68">
                  <c:v>0.36093253442371553</c:v>
                </c:pt>
                <c:pt idx="69">
                  <c:v>0.40679755334194301</c:v>
                </c:pt>
                <c:pt idx="70">
                  <c:v>0.34051168633344853</c:v>
                </c:pt>
                <c:pt idx="71">
                  <c:v>0.4654097604448007</c:v>
                </c:pt>
                <c:pt idx="72">
                  <c:v>0.55694555918855837</c:v>
                </c:pt>
                <c:pt idx="73">
                  <c:v>0.63463490931556743</c:v>
                </c:pt>
                <c:pt idx="74">
                  <c:v>0.73556789660364175</c:v>
                </c:pt>
                <c:pt idx="75">
                  <c:v>0.75846664668058783</c:v>
                </c:pt>
                <c:pt idx="76">
                  <c:v>0.67464370882560631</c:v>
                </c:pt>
                <c:pt idx="77">
                  <c:v>0.62415430925156534</c:v>
                </c:pt>
                <c:pt idx="78">
                  <c:v>0.65336631054810068</c:v>
                </c:pt>
                <c:pt idx="79">
                  <c:v>0.6218301816299151</c:v>
                </c:pt>
              </c:numCache>
            </c:numRef>
          </c:xVal>
          <c:yVal>
            <c:numRef>
              <c:f>'Regression_Brazil '!$C$111:$C$190</c:f>
              <c:numCache>
                <c:formatCode>General</c:formatCode>
                <c:ptCount val="80"/>
                <c:pt idx="0">
                  <c:v>0.19870789403196198</c:v>
                </c:pt>
                <c:pt idx="1">
                  <c:v>2.5365475473602572E-2</c:v>
                </c:pt>
                <c:pt idx="2">
                  <c:v>1.8116301459016881E-3</c:v>
                </c:pt>
                <c:pt idx="3">
                  <c:v>4.0022625633433506E-2</c:v>
                </c:pt>
                <c:pt idx="4">
                  <c:v>0.17151248834818844</c:v>
                </c:pt>
                <c:pt idx="5">
                  <c:v>-1.2028131620667182E-2</c:v>
                </c:pt>
                <c:pt idx="6">
                  <c:v>2.5838687171216179E-2</c:v>
                </c:pt>
                <c:pt idx="7">
                  <c:v>6.3949859571742707E-2</c:v>
                </c:pt>
                <c:pt idx="8">
                  <c:v>0.10631830082891724</c:v>
                </c:pt>
                <c:pt idx="9">
                  <c:v>-8.7589411077452439E-2</c:v>
                </c:pt>
                <c:pt idx="10">
                  <c:v>-0.10084185057828066</c:v>
                </c:pt>
                <c:pt idx="11">
                  <c:v>-0.21352385043451605</c:v>
                </c:pt>
                <c:pt idx="12">
                  <c:v>5.4843201813636E-2</c:v>
                </c:pt>
                <c:pt idx="13">
                  <c:v>-7.2417447150844083E-2</c:v>
                </c:pt>
                <c:pt idx="14">
                  <c:v>-4.435091367949795E-2</c:v>
                </c:pt>
                <c:pt idx="15">
                  <c:v>-0.12236025941308881</c:v>
                </c:pt>
                <c:pt idx="16">
                  <c:v>-3.5249619121405118E-2</c:v>
                </c:pt>
                <c:pt idx="17">
                  <c:v>-0.19185079188628507</c:v>
                </c:pt>
                <c:pt idx="18">
                  <c:v>-0.22116920847394184</c:v>
                </c:pt>
                <c:pt idx="19">
                  <c:v>-0.14218665003089015</c:v>
                </c:pt>
                <c:pt idx="20">
                  <c:v>7.569636866168139E-2</c:v>
                </c:pt>
                <c:pt idx="21">
                  <c:v>-0.12385298686803381</c:v>
                </c:pt>
                <c:pt idx="22">
                  <c:v>3.2741686072228049E-2</c:v>
                </c:pt>
                <c:pt idx="23">
                  <c:v>8.4810830496351741E-2</c:v>
                </c:pt>
                <c:pt idx="24">
                  <c:v>0.18797432729422425</c:v>
                </c:pt>
                <c:pt idx="25">
                  <c:v>4.5243767322574513E-2</c:v>
                </c:pt>
                <c:pt idx="26">
                  <c:v>4.0916940393067591E-3</c:v>
                </c:pt>
                <c:pt idx="27">
                  <c:v>1.3571617081836962E-2</c:v>
                </c:pt>
                <c:pt idx="28">
                  <c:v>9.3459218136661804E-2</c:v>
                </c:pt>
                <c:pt idx="29">
                  <c:v>-5.1445552680235096E-2</c:v>
                </c:pt>
                <c:pt idx="30">
                  <c:v>-0.15709321311278401</c:v>
                </c:pt>
                <c:pt idx="31">
                  <c:v>-3.6689116877443695E-2</c:v>
                </c:pt>
                <c:pt idx="32">
                  <c:v>6.2272344794155998E-2</c:v>
                </c:pt>
                <c:pt idx="33">
                  <c:v>-7.001507705768617E-2</c:v>
                </c:pt>
                <c:pt idx="34">
                  <c:v>-0.19071455579086916</c:v>
                </c:pt>
                <c:pt idx="35">
                  <c:v>1.416865616892693E-3</c:v>
                </c:pt>
                <c:pt idx="36">
                  <c:v>0.12718127888161135</c:v>
                </c:pt>
                <c:pt idx="37">
                  <c:v>-8.3316028914971696E-2</c:v>
                </c:pt>
                <c:pt idx="38">
                  <c:v>-0.10804993082188119</c:v>
                </c:pt>
                <c:pt idx="39">
                  <c:v>-1.4139138620290481E-2</c:v>
                </c:pt>
                <c:pt idx="40">
                  <c:v>0.10372602584776303</c:v>
                </c:pt>
                <c:pt idx="41">
                  <c:v>-0.15898225022765189</c:v>
                </c:pt>
                <c:pt idx="42">
                  <c:v>-5.8095880057667415E-2</c:v>
                </c:pt>
                <c:pt idx="43">
                  <c:v>-3.5785509183060782E-2</c:v>
                </c:pt>
                <c:pt idx="44">
                  <c:v>0.10877829553042773</c:v>
                </c:pt>
                <c:pt idx="45">
                  <c:v>-2.9283026795468459E-2</c:v>
                </c:pt>
                <c:pt idx="46">
                  <c:v>2.205713430253553E-2</c:v>
                </c:pt>
                <c:pt idx="47">
                  <c:v>3.7304598455683902E-2</c:v>
                </c:pt>
                <c:pt idx="48">
                  <c:v>0.16624214323395137</c:v>
                </c:pt>
                <c:pt idx="49">
                  <c:v>2.7023868989900279E-2</c:v>
                </c:pt>
                <c:pt idx="50">
                  <c:v>-4.0184961708611411E-3</c:v>
                </c:pt>
                <c:pt idx="51">
                  <c:v>3.666134181901981E-3</c:v>
                </c:pt>
                <c:pt idx="52">
                  <c:v>5.6024991833897531E-2</c:v>
                </c:pt>
                <c:pt idx="53">
                  <c:v>-0.10798177752390714</c:v>
                </c:pt>
                <c:pt idx="54">
                  <c:v>-0.12641898987831013</c:v>
                </c:pt>
                <c:pt idx="55">
                  <c:v>-3.9318151232421883E-2</c:v>
                </c:pt>
                <c:pt idx="56">
                  <c:v>2.2678936853434806E-2</c:v>
                </c:pt>
                <c:pt idx="57">
                  <c:v>-0.1258173189753542</c:v>
                </c:pt>
                <c:pt idx="58">
                  <c:v>-9.1011522217801399E-2</c:v>
                </c:pt>
                <c:pt idx="59">
                  <c:v>-6.95996599079578E-2</c:v>
                </c:pt>
                <c:pt idx="60">
                  <c:v>2.1416608099691814E-2</c:v>
                </c:pt>
                <c:pt idx="61">
                  <c:v>-0.1165272339013903</c:v>
                </c:pt>
                <c:pt idx="62">
                  <c:v>2.127983699534397E-2</c:v>
                </c:pt>
                <c:pt idx="63">
                  <c:v>7.3783184837367344E-2</c:v>
                </c:pt>
                <c:pt idx="64">
                  <c:v>0.10457474112475396</c:v>
                </c:pt>
                <c:pt idx="65">
                  <c:v>-4.7741297393805837E-2</c:v>
                </c:pt>
                <c:pt idx="66">
                  <c:v>3.2127568924341432E-2</c:v>
                </c:pt>
                <c:pt idx="67">
                  <c:v>0.16788234482458719</c:v>
                </c:pt>
                <c:pt idx="68">
                  <c:v>0.17355126257821496</c:v>
                </c:pt>
                <c:pt idx="69">
                  <c:v>2.7438602437193538E-2</c:v>
                </c:pt>
                <c:pt idx="70">
                  <c:v>2.046835807352565E-2</c:v>
                </c:pt>
                <c:pt idx="71">
                  <c:v>5.7613314053675424E-2</c:v>
                </c:pt>
                <c:pt idx="72">
                  <c:v>0.12470278770165422</c:v>
                </c:pt>
                <c:pt idx="73">
                  <c:v>-6.4833280813267891E-3</c:v>
                </c:pt>
                <c:pt idx="74">
                  <c:v>5.910102026987829E-2</c:v>
                </c:pt>
                <c:pt idx="75">
                  <c:v>0.12389560102238306</c:v>
                </c:pt>
                <c:pt idx="76">
                  <c:v>0.1521099588746182</c:v>
                </c:pt>
                <c:pt idx="77">
                  <c:v>-8.1103093849161922E-2</c:v>
                </c:pt>
                <c:pt idx="78">
                  <c:v>-1.1135677788185916E-2</c:v>
                </c:pt>
                <c:pt idx="79">
                  <c:v>6.3909466933285586E-2</c:v>
                </c:pt>
              </c:numCache>
            </c:numRef>
          </c:yVal>
          <c:smooth val="0"/>
          <c:extLst>
            <c:ext xmlns:c16="http://schemas.microsoft.com/office/drawing/2014/chart" uri="{C3380CC4-5D6E-409C-BE32-E72D297353CC}">
              <c16:uniqueId val="{00000001-94CD-9C47-8FA2-3F4E2F5691B1}"/>
            </c:ext>
          </c:extLst>
        </c:ser>
        <c:dLbls>
          <c:showLegendKey val="0"/>
          <c:showVal val="0"/>
          <c:showCatName val="0"/>
          <c:showSerName val="0"/>
          <c:showPercent val="0"/>
          <c:showBubbleSize val="0"/>
        </c:dLbls>
        <c:axId val="452099552"/>
        <c:axId val="452101200"/>
      </c:scatterChart>
      <c:valAx>
        <c:axId val="452099552"/>
        <c:scaling>
          <c:orientation val="minMax"/>
        </c:scaling>
        <c:delete val="0"/>
        <c:axPos val="b"/>
        <c:title>
          <c:tx>
            <c:rich>
              <a:bodyPr/>
              <a:lstStyle/>
              <a:p>
                <a:pPr>
                  <a:defRPr/>
                </a:pPr>
                <a:r>
                  <a:rPr lang="it-IT"/>
                  <a:t>Variabile X 2</a:t>
                </a:r>
              </a:p>
            </c:rich>
          </c:tx>
          <c:overlay val="0"/>
        </c:title>
        <c:numFmt formatCode="General" sourceLinked="1"/>
        <c:majorTickMark val="out"/>
        <c:minorTickMark val="none"/>
        <c:tickLblPos val="nextTo"/>
        <c:crossAx val="452101200"/>
        <c:crosses val="autoZero"/>
        <c:crossBetween val="midCat"/>
      </c:valAx>
      <c:valAx>
        <c:axId val="452101200"/>
        <c:scaling>
          <c:orientation val="minMax"/>
        </c:scaling>
        <c:delete val="0"/>
        <c:axPos val="l"/>
        <c:title>
          <c:tx>
            <c:rich>
              <a:bodyPr/>
              <a:lstStyle/>
              <a:p>
                <a:pPr>
                  <a:defRPr/>
                </a:pPr>
                <a:r>
                  <a:rPr lang="it-IT"/>
                  <a:t>Residui</a:t>
                </a:r>
              </a:p>
            </c:rich>
          </c:tx>
          <c:overlay val="0"/>
        </c:title>
        <c:numFmt formatCode="General" sourceLinked="1"/>
        <c:majorTickMark val="out"/>
        <c:minorTickMark val="none"/>
        <c:tickLblPos val="nextTo"/>
        <c:crossAx val="45209955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it-IT"/>
              <a:t>Variabile X 1 Tracciato delle approssimazioni</a:t>
            </a:r>
          </a:p>
        </c:rich>
      </c:tx>
      <c:overlay val="0"/>
    </c:title>
    <c:autoTitleDeleted val="0"/>
    <c:plotArea>
      <c:layout/>
      <c:scatterChart>
        <c:scatterStyle val="lineMarker"/>
        <c:varyColors val="0"/>
        <c:ser>
          <c:idx val="0"/>
          <c:order val="0"/>
          <c:tx>
            <c:v>Y</c:v>
          </c:tx>
          <c:spPr>
            <a:ln w="19050">
              <a:noFill/>
            </a:ln>
          </c:spPr>
          <c:xVal>
            <c:numRef>
              <c:f>'Regression_Brazil '!$G$2:$G$81</c:f>
              <c:numCache>
                <c:formatCode>General</c:formatCode>
                <c:ptCount val="80"/>
                <c:pt idx="0">
                  <c:v>12.14313018334594</c:v>
                </c:pt>
                <c:pt idx="1">
                  <c:v>12.178683976844512</c:v>
                </c:pt>
                <c:pt idx="2">
                  <c:v>12.213716853979429</c:v>
                </c:pt>
                <c:pt idx="3">
                  <c:v>12.211952823348726</c:v>
                </c:pt>
                <c:pt idx="4">
                  <c:v>12.17729089630472</c:v>
                </c:pt>
                <c:pt idx="5">
                  <c:v>12.201678003219662</c:v>
                </c:pt>
                <c:pt idx="6">
                  <c:v>12.218317865861456</c:v>
                </c:pt>
                <c:pt idx="7">
                  <c:v>12.206620995159032</c:v>
                </c:pt>
                <c:pt idx="8">
                  <c:v>12.182048871717273</c:v>
                </c:pt>
                <c:pt idx="9">
                  <c:v>12.224400165782876</c:v>
                </c:pt>
                <c:pt idx="10">
                  <c:v>12.259217125416059</c:v>
                </c:pt>
                <c:pt idx="11">
                  <c:v>12.257053741188772</c:v>
                </c:pt>
                <c:pt idx="12">
                  <c:v>12.208369505726093</c:v>
                </c:pt>
                <c:pt idx="13">
                  <c:v>12.232182302419352</c:v>
                </c:pt>
                <c:pt idx="14">
                  <c:v>12.265459324941414</c:v>
                </c:pt>
                <c:pt idx="15">
                  <c:v>12.262923567654946</c:v>
                </c:pt>
                <c:pt idx="16">
                  <c:v>12.246417246116076</c:v>
                </c:pt>
                <c:pt idx="17">
                  <c:v>12.293354777529025</c:v>
                </c:pt>
                <c:pt idx="18">
                  <c:v>12.328986496015574</c:v>
                </c:pt>
                <c:pt idx="19">
                  <c:v>12.323165665402634</c:v>
                </c:pt>
                <c:pt idx="20">
                  <c:v>12.28740882400187</c:v>
                </c:pt>
                <c:pt idx="21">
                  <c:v>12.337132486385341</c:v>
                </c:pt>
                <c:pt idx="22">
                  <c:v>12.349915380568023</c:v>
                </c:pt>
                <c:pt idx="23">
                  <c:v>12.344443185571299</c:v>
                </c:pt>
                <c:pt idx="24">
                  <c:v>12.329309670002482</c:v>
                </c:pt>
                <c:pt idx="25">
                  <c:v>12.35970876442223</c:v>
                </c:pt>
                <c:pt idx="26">
                  <c:v>12.393863385704378</c:v>
                </c:pt>
                <c:pt idx="27">
                  <c:v>12.391281280699719</c:v>
                </c:pt>
                <c:pt idx="28">
                  <c:v>12.379952000339374</c:v>
                </c:pt>
                <c:pt idx="29">
                  <c:v>12.423033120966846</c:v>
                </c:pt>
                <c:pt idx="30">
                  <c:v>12.450907627463256</c:v>
                </c:pt>
                <c:pt idx="31">
                  <c:v>12.455567140959703</c:v>
                </c:pt>
                <c:pt idx="32">
                  <c:v>12.439704996558556</c:v>
                </c:pt>
                <c:pt idx="33">
                  <c:v>12.484468105568965</c:v>
                </c:pt>
                <c:pt idx="34">
                  <c:v>12.518386840937987</c:v>
                </c:pt>
                <c:pt idx="35">
                  <c:v>12.465798432274621</c:v>
                </c:pt>
                <c:pt idx="36">
                  <c:v>12.415145263959525</c:v>
                </c:pt>
                <c:pt idx="37">
                  <c:v>12.462192066875648</c:v>
                </c:pt>
                <c:pt idx="38">
                  <c:v>12.506692290503372</c:v>
                </c:pt>
                <c:pt idx="39">
                  <c:v>12.517672762379137</c:v>
                </c:pt>
                <c:pt idx="40">
                  <c:v>12.503239222533114</c:v>
                </c:pt>
                <c:pt idx="41">
                  <c:v>12.543935343583113</c:v>
                </c:pt>
                <c:pt idx="42">
                  <c:v>12.573482760769073</c:v>
                </c:pt>
                <c:pt idx="43">
                  <c:v>12.573006536061675</c:v>
                </c:pt>
                <c:pt idx="44">
                  <c:v>12.553886041676288</c:v>
                </c:pt>
                <c:pt idx="45">
                  <c:v>12.5898690062226</c:v>
                </c:pt>
                <c:pt idx="46">
                  <c:v>12.608245005153922</c:v>
                </c:pt>
                <c:pt idx="47">
                  <c:v>12.598362337784813</c:v>
                </c:pt>
                <c:pt idx="48">
                  <c:v>12.570814018179393</c:v>
                </c:pt>
                <c:pt idx="49">
                  <c:v>12.599685458530661</c:v>
                </c:pt>
                <c:pt idx="50">
                  <c:v>12.632795204518251</c:v>
                </c:pt>
                <c:pt idx="51">
                  <c:v>12.622887105405214</c:v>
                </c:pt>
                <c:pt idx="52">
                  <c:v>12.597661590111786</c:v>
                </c:pt>
                <c:pt idx="53">
                  <c:v>12.639116279273694</c:v>
                </c:pt>
                <c:pt idx="54">
                  <c:v>12.660011042211176</c:v>
                </c:pt>
                <c:pt idx="55">
                  <c:v>12.64786003963769</c:v>
                </c:pt>
                <c:pt idx="56">
                  <c:v>12.631765780635313</c:v>
                </c:pt>
                <c:pt idx="57">
                  <c:v>12.63475317816247</c:v>
                </c:pt>
                <c:pt idx="58">
                  <c:v>12.653602815230487</c:v>
                </c:pt>
                <c:pt idx="59">
                  <c:v>12.645574540613758</c:v>
                </c:pt>
                <c:pt idx="60">
                  <c:v>12.615444113868556</c:v>
                </c:pt>
                <c:pt idx="61">
                  <c:v>12.606971008580052</c:v>
                </c:pt>
                <c:pt idx="62">
                  <c:v>12.610038630514572</c:v>
                </c:pt>
                <c:pt idx="63">
                  <c:v>12.588788268618869</c:v>
                </c:pt>
                <c:pt idx="64">
                  <c:v>12.562674136771323</c:v>
                </c:pt>
                <c:pt idx="65">
                  <c:v>12.574239750892181</c:v>
                </c:pt>
                <c:pt idx="66">
                  <c:v>12.585192409372405</c:v>
                </c:pt>
                <c:pt idx="67">
                  <c:v>12.565953046497802</c:v>
                </c:pt>
                <c:pt idx="68">
                  <c:v>12.565573742134656</c:v>
                </c:pt>
                <c:pt idx="69">
                  <c:v>12.582153226210057</c:v>
                </c:pt>
                <c:pt idx="70">
                  <c:v>12.601460144685657</c:v>
                </c:pt>
                <c:pt idx="71">
                  <c:v>12.591244225870236</c:v>
                </c:pt>
                <c:pt idx="72">
                  <c:v>12.584104204778452</c:v>
                </c:pt>
                <c:pt idx="73">
                  <c:v>12.597912010056525</c:v>
                </c:pt>
                <c:pt idx="74">
                  <c:v>12.621841817300217</c:v>
                </c:pt>
                <c:pt idx="75">
                  <c:v>12.607260619728054</c:v>
                </c:pt>
                <c:pt idx="76">
                  <c:v>12.594492640901837</c:v>
                </c:pt>
                <c:pt idx="77">
                  <c:v>12.610762786762399</c:v>
                </c:pt>
                <c:pt idx="78">
                  <c:v>12.632785088475822</c:v>
                </c:pt>
                <c:pt idx="79">
                  <c:v>12.621592699481214</c:v>
                </c:pt>
              </c:numCache>
            </c:numRef>
          </c:xVal>
          <c:yVal>
            <c:numRef>
              <c:f>'Regression_Brazil '!$E$2:$E$81</c:f>
              <c:numCache>
                <c:formatCode>General</c:formatCode>
                <c:ptCount val="80"/>
                <c:pt idx="0">
                  <c:v>22.568740450472919</c:v>
                </c:pt>
                <c:pt idx="1">
                  <c:v>22.490331414795776</c:v>
                </c:pt>
                <c:pt idx="2">
                  <c:v>22.599264478973829</c:v>
                </c:pt>
                <c:pt idx="3">
                  <c:v>22.596279400745605</c:v>
                </c:pt>
                <c:pt idx="4">
                  <c:v>22.591099225384887</c:v>
                </c:pt>
                <c:pt idx="5">
                  <c:v>22.528057131866628</c:v>
                </c:pt>
                <c:pt idx="6">
                  <c:v>22.632269156051876</c:v>
                </c:pt>
                <c:pt idx="7">
                  <c:v>22.640267067361506</c:v>
                </c:pt>
                <c:pt idx="8">
                  <c:v>22.646870989664365</c:v>
                </c:pt>
                <c:pt idx="9">
                  <c:v>22.602544064715971</c:v>
                </c:pt>
                <c:pt idx="10">
                  <c:v>22.686777480677165</c:v>
                </c:pt>
                <c:pt idx="11">
                  <c:v>22.545529449466212</c:v>
                </c:pt>
                <c:pt idx="12">
                  <c:v>22.629286651508149</c:v>
                </c:pt>
                <c:pt idx="13">
                  <c:v>22.548634690323372</c:v>
                </c:pt>
                <c:pt idx="14">
                  <c:v>22.74585896162937</c:v>
                </c:pt>
                <c:pt idx="15">
                  <c:v>22.647091569583662</c:v>
                </c:pt>
                <c:pt idx="16">
                  <c:v>22.659613945486964</c:v>
                </c:pt>
                <c:pt idx="17">
                  <c:v>22.647941251283346</c:v>
                </c:pt>
                <c:pt idx="18">
                  <c:v>22.733551998846252</c:v>
                </c:pt>
                <c:pt idx="19">
                  <c:v>22.755284612491856</c:v>
                </c:pt>
                <c:pt idx="20">
                  <c:v>22.826003367611257</c:v>
                </c:pt>
                <c:pt idx="21">
                  <c:v>22.800114404272016</c:v>
                </c:pt>
                <c:pt idx="22">
                  <c:v>22.982740560127226</c:v>
                </c:pt>
                <c:pt idx="23">
                  <c:v>22.97521526726576</c:v>
                </c:pt>
                <c:pt idx="24">
                  <c:v>23.021810475486852</c:v>
                </c:pt>
                <c:pt idx="25">
                  <c:v>23.002201772983355</c:v>
                </c:pt>
                <c:pt idx="26">
                  <c:v>23.058923973491382</c:v>
                </c:pt>
                <c:pt idx="27">
                  <c:v>23.06306443904527</c:v>
                </c:pt>
                <c:pt idx="28">
                  <c:v>23.129641229133405</c:v>
                </c:pt>
                <c:pt idx="29">
                  <c:v>23.142378251562317</c:v>
                </c:pt>
                <c:pt idx="30">
                  <c:v>23.10586482267577</c:v>
                </c:pt>
                <c:pt idx="31">
                  <c:v>23.23353993222424</c:v>
                </c:pt>
                <c:pt idx="32">
                  <c:v>23.243457873288225</c:v>
                </c:pt>
                <c:pt idx="33">
                  <c:v>23.253874873622458</c:v>
                </c:pt>
                <c:pt idx="34">
                  <c:v>23.205586583082312</c:v>
                </c:pt>
                <c:pt idx="35">
                  <c:v>23.215241764240488</c:v>
                </c:pt>
                <c:pt idx="36">
                  <c:v>23.280618041134758</c:v>
                </c:pt>
                <c:pt idx="37">
                  <c:v>23.304788724637064</c:v>
                </c:pt>
                <c:pt idx="38">
                  <c:v>23.411495482259728</c:v>
                </c:pt>
                <c:pt idx="39">
                  <c:v>23.518726781725203</c:v>
                </c:pt>
                <c:pt idx="40">
                  <c:v>23.56500312941813</c:v>
                </c:pt>
                <c:pt idx="41">
                  <c:v>23.441989734602465</c:v>
                </c:pt>
                <c:pt idx="42">
                  <c:v>23.643293284137989</c:v>
                </c:pt>
                <c:pt idx="43">
                  <c:v>23.668426936636845</c:v>
                </c:pt>
                <c:pt idx="44">
                  <c:v>23.72008587636854</c:v>
                </c:pt>
                <c:pt idx="45">
                  <c:v>23.673653587717279</c:v>
                </c:pt>
                <c:pt idx="46">
                  <c:v>23.774040313784365</c:v>
                </c:pt>
                <c:pt idx="47">
                  <c:v>23.759984774837839</c:v>
                </c:pt>
                <c:pt idx="48">
                  <c:v>23.7934505948744</c:v>
                </c:pt>
                <c:pt idx="49">
                  <c:v>23.744891105903939</c:v>
                </c:pt>
                <c:pt idx="50">
                  <c:v>23.847922589444014</c:v>
                </c:pt>
                <c:pt idx="51">
                  <c:v>23.812001536793417</c:v>
                </c:pt>
                <c:pt idx="52">
                  <c:v>23.777789719916782</c:v>
                </c:pt>
                <c:pt idx="53">
                  <c:v>23.758343481893139</c:v>
                </c:pt>
                <c:pt idx="54">
                  <c:v>23.837102519888493</c:v>
                </c:pt>
                <c:pt idx="55">
                  <c:v>23.868234413779071</c:v>
                </c:pt>
                <c:pt idx="56">
                  <c:v>23.87547308367817</c:v>
                </c:pt>
                <c:pt idx="57">
                  <c:v>23.735452090270705</c:v>
                </c:pt>
                <c:pt idx="58">
                  <c:v>23.841598552908277</c:v>
                </c:pt>
                <c:pt idx="59">
                  <c:v>23.839690084778201</c:v>
                </c:pt>
                <c:pt idx="60">
                  <c:v>23.869041946104105</c:v>
                </c:pt>
                <c:pt idx="61">
                  <c:v>23.757094344741102</c:v>
                </c:pt>
                <c:pt idx="62">
                  <c:v>23.891112389454388</c:v>
                </c:pt>
                <c:pt idx="63">
                  <c:v>23.904939737800181</c:v>
                </c:pt>
                <c:pt idx="64">
                  <c:v>23.866535670947844</c:v>
                </c:pt>
                <c:pt idx="65">
                  <c:v>23.803585589897338</c:v>
                </c:pt>
                <c:pt idx="66">
                  <c:v>23.874210261467788</c:v>
                </c:pt>
                <c:pt idx="67">
                  <c:v>23.937346803592757</c:v>
                </c:pt>
                <c:pt idx="68">
                  <c:v>23.921891361119648</c:v>
                </c:pt>
                <c:pt idx="69">
                  <c:v>23.826985741172653</c:v>
                </c:pt>
                <c:pt idx="70">
                  <c:v>23.902785553399806</c:v>
                </c:pt>
                <c:pt idx="71">
                  <c:v>23.878769771173637</c:v>
                </c:pt>
                <c:pt idx="72">
                  <c:v>23.902293051152544</c:v>
                </c:pt>
                <c:pt idx="73">
                  <c:v>23.806119035156133</c:v>
                </c:pt>
                <c:pt idx="74">
                  <c:v>23.938897798373997</c:v>
                </c:pt>
                <c:pt idx="75">
                  <c:v>23.946432733503556</c:v>
                </c:pt>
                <c:pt idx="76">
                  <c:v>23.944588378361008</c:v>
                </c:pt>
                <c:pt idx="77">
                  <c:v>23.780088349735514</c:v>
                </c:pt>
                <c:pt idx="78">
                  <c:v>23.924203395082536</c:v>
                </c:pt>
                <c:pt idx="79">
                  <c:v>23.964790894506027</c:v>
                </c:pt>
              </c:numCache>
            </c:numRef>
          </c:yVal>
          <c:smooth val="0"/>
          <c:extLst>
            <c:ext xmlns:c16="http://schemas.microsoft.com/office/drawing/2014/chart" uri="{C3380CC4-5D6E-409C-BE32-E72D297353CC}">
              <c16:uniqueId val="{00000001-0072-D443-BB55-7680BF21B349}"/>
            </c:ext>
          </c:extLst>
        </c:ser>
        <c:ser>
          <c:idx val="1"/>
          <c:order val="1"/>
          <c:tx>
            <c:v>Y prevista</c:v>
          </c:tx>
          <c:spPr>
            <a:ln w="19050">
              <a:noFill/>
            </a:ln>
          </c:spPr>
          <c:xVal>
            <c:numRef>
              <c:f>'Regression_Brazil '!$G$2:$G$81</c:f>
              <c:numCache>
                <c:formatCode>General</c:formatCode>
                <c:ptCount val="80"/>
                <c:pt idx="0">
                  <c:v>12.14313018334594</c:v>
                </c:pt>
                <c:pt idx="1">
                  <c:v>12.178683976844512</c:v>
                </c:pt>
                <c:pt idx="2">
                  <c:v>12.213716853979429</c:v>
                </c:pt>
                <c:pt idx="3">
                  <c:v>12.211952823348726</c:v>
                </c:pt>
                <c:pt idx="4">
                  <c:v>12.17729089630472</c:v>
                </c:pt>
                <c:pt idx="5">
                  <c:v>12.201678003219662</c:v>
                </c:pt>
                <c:pt idx="6">
                  <c:v>12.218317865861456</c:v>
                </c:pt>
                <c:pt idx="7">
                  <c:v>12.206620995159032</c:v>
                </c:pt>
                <c:pt idx="8">
                  <c:v>12.182048871717273</c:v>
                </c:pt>
                <c:pt idx="9">
                  <c:v>12.224400165782876</c:v>
                </c:pt>
                <c:pt idx="10">
                  <c:v>12.259217125416059</c:v>
                </c:pt>
                <c:pt idx="11">
                  <c:v>12.257053741188772</c:v>
                </c:pt>
                <c:pt idx="12">
                  <c:v>12.208369505726093</c:v>
                </c:pt>
                <c:pt idx="13">
                  <c:v>12.232182302419352</c:v>
                </c:pt>
                <c:pt idx="14">
                  <c:v>12.265459324941414</c:v>
                </c:pt>
                <c:pt idx="15">
                  <c:v>12.262923567654946</c:v>
                </c:pt>
                <c:pt idx="16">
                  <c:v>12.246417246116076</c:v>
                </c:pt>
                <c:pt idx="17">
                  <c:v>12.293354777529025</c:v>
                </c:pt>
                <c:pt idx="18">
                  <c:v>12.328986496015574</c:v>
                </c:pt>
                <c:pt idx="19">
                  <c:v>12.323165665402634</c:v>
                </c:pt>
                <c:pt idx="20">
                  <c:v>12.28740882400187</c:v>
                </c:pt>
                <c:pt idx="21">
                  <c:v>12.337132486385341</c:v>
                </c:pt>
                <c:pt idx="22">
                  <c:v>12.349915380568023</c:v>
                </c:pt>
                <c:pt idx="23">
                  <c:v>12.344443185571299</c:v>
                </c:pt>
                <c:pt idx="24">
                  <c:v>12.329309670002482</c:v>
                </c:pt>
                <c:pt idx="25">
                  <c:v>12.35970876442223</c:v>
                </c:pt>
                <c:pt idx="26">
                  <c:v>12.393863385704378</c:v>
                </c:pt>
                <c:pt idx="27">
                  <c:v>12.391281280699719</c:v>
                </c:pt>
                <c:pt idx="28">
                  <c:v>12.379952000339374</c:v>
                </c:pt>
                <c:pt idx="29">
                  <c:v>12.423033120966846</c:v>
                </c:pt>
                <c:pt idx="30">
                  <c:v>12.450907627463256</c:v>
                </c:pt>
                <c:pt idx="31">
                  <c:v>12.455567140959703</c:v>
                </c:pt>
                <c:pt idx="32">
                  <c:v>12.439704996558556</c:v>
                </c:pt>
                <c:pt idx="33">
                  <c:v>12.484468105568965</c:v>
                </c:pt>
                <c:pt idx="34">
                  <c:v>12.518386840937987</c:v>
                </c:pt>
                <c:pt idx="35">
                  <c:v>12.465798432274621</c:v>
                </c:pt>
                <c:pt idx="36">
                  <c:v>12.415145263959525</c:v>
                </c:pt>
                <c:pt idx="37">
                  <c:v>12.462192066875648</c:v>
                </c:pt>
                <c:pt idx="38">
                  <c:v>12.506692290503372</c:v>
                </c:pt>
                <c:pt idx="39">
                  <c:v>12.517672762379137</c:v>
                </c:pt>
                <c:pt idx="40">
                  <c:v>12.503239222533114</c:v>
                </c:pt>
                <c:pt idx="41">
                  <c:v>12.543935343583113</c:v>
                </c:pt>
                <c:pt idx="42">
                  <c:v>12.573482760769073</c:v>
                </c:pt>
                <c:pt idx="43">
                  <c:v>12.573006536061675</c:v>
                </c:pt>
                <c:pt idx="44">
                  <c:v>12.553886041676288</c:v>
                </c:pt>
                <c:pt idx="45">
                  <c:v>12.5898690062226</c:v>
                </c:pt>
                <c:pt idx="46">
                  <c:v>12.608245005153922</c:v>
                </c:pt>
                <c:pt idx="47">
                  <c:v>12.598362337784813</c:v>
                </c:pt>
                <c:pt idx="48">
                  <c:v>12.570814018179393</c:v>
                </c:pt>
                <c:pt idx="49">
                  <c:v>12.599685458530661</c:v>
                </c:pt>
                <c:pt idx="50">
                  <c:v>12.632795204518251</c:v>
                </c:pt>
                <c:pt idx="51">
                  <c:v>12.622887105405214</c:v>
                </c:pt>
                <c:pt idx="52">
                  <c:v>12.597661590111786</c:v>
                </c:pt>
                <c:pt idx="53">
                  <c:v>12.639116279273694</c:v>
                </c:pt>
                <c:pt idx="54">
                  <c:v>12.660011042211176</c:v>
                </c:pt>
                <c:pt idx="55">
                  <c:v>12.64786003963769</c:v>
                </c:pt>
                <c:pt idx="56">
                  <c:v>12.631765780635313</c:v>
                </c:pt>
                <c:pt idx="57">
                  <c:v>12.63475317816247</c:v>
                </c:pt>
                <c:pt idx="58">
                  <c:v>12.653602815230487</c:v>
                </c:pt>
                <c:pt idx="59">
                  <c:v>12.645574540613758</c:v>
                </c:pt>
                <c:pt idx="60">
                  <c:v>12.615444113868556</c:v>
                </c:pt>
                <c:pt idx="61">
                  <c:v>12.606971008580052</c:v>
                </c:pt>
                <c:pt idx="62">
                  <c:v>12.610038630514572</c:v>
                </c:pt>
                <c:pt idx="63">
                  <c:v>12.588788268618869</c:v>
                </c:pt>
                <c:pt idx="64">
                  <c:v>12.562674136771323</c:v>
                </c:pt>
                <c:pt idx="65">
                  <c:v>12.574239750892181</c:v>
                </c:pt>
                <c:pt idx="66">
                  <c:v>12.585192409372405</c:v>
                </c:pt>
                <c:pt idx="67">
                  <c:v>12.565953046497802</c:v>
                </c:pt>
                <c:pt idx="68">
                  <c:v>12.565573742134656</c:v>
                </c:pt>
                <c:pt idx="69">
                  <c:v>12.582153226210057</c:v>
                </c:pt>
                <c:pt idx="70">
                  <c:v>12.601460144685657</c:v>
                </c:pt>
                <c:pt idx="71">
                  <c:v>12.591244225870236</c:v>
                </c:pt>
                <c:pt idx="72">
                  <c:v>12.584104204778452</c:v>
                </c:pt>
                <c:pt idx="73">
                  <c:v>12.597912010056525</c:v>
                </c:pt>
                <c:pt idx="74">
                  <c:v>12.621841817300217</c:v>
                </c:pt>
                <c:pt idx="75">
                  <c:v>12.607260619728054</c:v>
                </c:pt>
                <c:pt idx="76">
                  <c:v>12.594492640901837</c:v>
                </c:pt>
                <c:pt idx="77">
                  <c:v>12.610762786762399</c:v>
                </c:pt>
                <c:pt idx="78">
                  <c:v>12.632785088475822</c:v>
                </c:pt>
                <c:pt idx="79">
                  <c:v>12.621592699481214</c:v>
                </c:pt>
              </c:numCache>
            </c:numRef>
          </c:xVal>
          <c:yVal>
            <c:numRef>
              <c:f>'Regression_Brazil '!$B$111:$B$190</c:f>
              <c:numCache>
                <c:formatCode>General</c:formatCode>
                <c:ptCount val="80"/>
                <c:pt idx="0">
                  <c:v>22.370032556440957</c:v>
                </c:pt>
                <c:pt idx="1">
                  <c:v>22.464965939322173</c:v>
                </c:pt>
                <c:pt idx="2">
                  <c:v>22.597452848827928</c:v>
                </c:pt>
                <c:pt idx="3">
                  <c:v>22.556256775112171</c:v>
                </c:pt>
                <c:pt idx="4">
                  <c:v>22.419586737036699</c:v>
                </c:pt>
                <c:pt idx="5">
                  <c:v>22.540085263487295</c:v>
                </c:pt>
                <c:pt idx="6">
                  <c:v>22.60643046888066</c:v>
                </c:pt>
                <c:pt idx="7">
                  <c:v>22.576317207789764</c:v>
                </c:pt>
                <c:pt idx="8">
                  <c:v>22.540552688835447</c:v>
                </c:pt>
                <c:pt idx="9">
                  <c:v>22.690133475793424</c:v>
                </c:pt>
                <c:pt idx="10">
                  <c:v>22.787619331255446</c:v>
                </c:pt>
                <c:pt idx="11">
                  <c:v>22.759053299900728</c:v>
                </c:pt>
                <c:pt idx="12">
                  <c:v>22.574443449694513</c:v>
                </c:pt>
                <c:pt idx="13">
                  <c:v>22.621052137474216</c:v>
                </c:pt>
                <c:pt idx="14">
                  <c:v>22.790209875308868</c:v>
                </c:pt>
                <c:pt idx="15">
                  <c:v>22.76945182899675</c:v>
                </c:pt>
                <c:pt idx="16">
                  <c:v>22.694863564608369</c:v>
                </c:pt>
                <c:pt idx="17">
                  <c:v>22.839792043169631</c:v>
                </c:pt>
                <c:pt idx="18">
                  <c:v>22.954721207320194</c:v>
                </c:pt>
                <c:pt idx="19">
                  <c:v>22.897471262522746</c:v>
                </c:pt>
                <c:pt idx="20">
                  <c:v>22.750306998949576</c:v>
                </c:pt>
                <c:pt idx="21">
                  <c:v>22.923967391140049</c:v>
                </c:pt>
                <c:pt idx="22">
                  <c:v>22.949998874054998</c:v>
                </c:pt>
                <c:pt idx="23">
                  <c:v>22.890404436769408</c:v>
                </c:pt>
                <c:pt idx="24">
                  <c:v>22.833836148192628</c:v>
                </c:pt>
                <c:pt idx="25">
                  <c:v>22.95695800566078</c:v>
                </c:pt>
                <c:pt idx="26">
                  <c:v>23.054832279452075</c:v>
                </c:pt>
                <c:pt idx="27">
                  <c:v>23.049492821963433</c:v>
                </c:pt>
                <c:pt idx="28">
                  <c:v>23.036182010996743</c:v>
                </c:pt>
                <c:pt idx="29">
                  <c:v>23.193823804242552</c:v>
                </c:pt>
                <c:pt idx="30">
                  <c:v>23.262958035788554</c:v>
                </c:pt>
                <c:pt idx="31">
                  <c:v>23.270229049101683</c:v>
                </c:pt>
                <c:pt idx="32">
                  <c:v>23.181185528494069</c:v>
                </c:pt>
                <c:pt idx="33">
                  <c:v>23.323889950680144</c:v>
                </c:pt>
                <c:pt idx="34">
                  <c:v>23.396301138873181</c:v>
                </c:pt>
                <c:pt idx="35">
                  <c:v>23.213824898623596</c:v>
                </c:pt>
                <c:pt idx="36">
                  <c:v>23.153436762253147</c:v>
                </c:pt>
                <c:pt idx="37">
                  <c:v>23.388104753552035</c:v>
                </c:pt>
                <c:pt idx="38">
                  <c:v>23.519545413081609</c:v>
                </c:pt>
                <c:pt idx="39">
                  <c:v>23.532865920345493</c:v>
                </c:pt>
                <c:pt idx="40">
                  <c:v>23.461277103570367</c:v>
                </c:pt>
                <c:pt idx="41">
                  <c:v>23.600971984830117</c:v>
                </c:pt>
                <c:pt idx="42">
                  <c:v>23.701389164195657</c:v>
                </c:pt>
                <c:pt idx="43">
                  <c:v>23.704212445819905</c:v>
                </c:pt>
                <c:pt idx="44">
                  <c:v>23.611307580838112</c:v>
                </c:pt>
                <c:pt idx="45">
                  <c:v>23.702936614512748</c:v>
                </c:pt>
                <c:pt idx="46">
                  <c:v>23.751983179481829</c:v>
                </c:pt>
                <c:pt idx="47">
                  <c:v>23.722680176382156</c:v>
                </c:pt>
                <c:pt idx="48">
                  <c:v>23.627208451640449</c:v>
                </c:pt>
                <c:pt idx="49">
                  <c:v>23.717867236914039</c:v>
                </c:pt>
                <c:pt idx="50">
                  <c:v>23.851941085614875</c:v>
                </c:pt>
                <c:pt idx="51">
                  <c:v>23.808335402611515</c:v>
                </c:pt>
                <c:pt idx="52">
                  <c:v>23.721764728082885</c:v>
                </c:pt>
                <c:pt idx="53">
                  <c:v>23.866325259417046</c:v>
                </c:pt>
                <c:pt idx="54">
                  <c:v>23.963521509766803</c:v>
                </c:pt>
                <c:pt idx="55">
                  <c:v>23.907552565011493</c:v>
                </c:pt>
                <c:pt idx="56">
                  <c:v>23.852794146824735</c:v>
                </c:pt>
                <c:pt idx="57">
                  <c:v>23.861269409246059</c:v>
                </c:pt>
                <c:pt idx="58">
                  <c:v>23.932610075126078</c:v>
                </c:pt>
                <c:pt idx="59">
                  <c:v>23.909289744686159</c:v>
                </c:pt>
                <c:pt idx="60">
                  <c:v>23.847625338004413</c:v>
                </c:pt>
                <c:pt idx="61">
                  <c:v>23.873621578642492</c:v>
                </c:pt>
                <c:pt idx="62">
                  <c:v>23.869832552459044</c:v>
                </c:pt>
                <c:pt idx="63">
                  <c:v>23.831156552962813</c:v>
                </c:pt>
                <c:pt idx="64">
                  <c:v>23.76196092982309</c:v>
                </c:pt>
                <c:pt idx="65">
                  <c:v>23.851326887291144</c:v>
                </c:pt>
                <c:pt idx="66">
                  <c:v>23.842082692543446</c:v>
                </c:pt>
                <c:pt idx="67">
                  <c:v>23.769464458768169</c:v>
                </c:pt>
                <c:pt idx="68">
                  <c:v>23.748340098541433</c:v>
                </c:pt>
                <c:pt idx="69">
                  <c:v>23.799547138735459</c:v>
                </c:pt>
                <c:pt idx="70">
                  <c:v>23.88231719532628</c:v>
                </c:pt>
                <c:pt idx="71">
                  <c:v>23.821156457119962</c:v>
                </c:pt>
                <c:pt idx="72">
                  <c:v>23.77759026345089</c:v>
                </c:pt>
                <c:pt idx="73">
                  <c:v>23.81260236323746</c:v>
                </c:pt>
                <c:pt idx="74">
                  <c:v>23.879796778104119</c:v>
                </c:pt>
                <c:pt idx="75">
                  <c:v>23.822537132481173</c:v>
                </c:pt>
                <c:pt idx="76">
                  <c:v>23.79247841948639</c:v>
                </c:pt>
                <c:pt idx="77">
                  <c:v>23.861191443584676</c:v>
                </c:pt>
                <c:pt idx="78">
                  <c:v>23.935339072870722</c:v>
                </c:pt>
                <c:pt idx="79">
                  <c:v>23.900881427572742</c:v>
                </c:pt>
              </c:numCache>
            </c:numRef>
          </c:yVal>
          <c:smooth val="0"/>
          <c:extLst>
            <c:ext xmlns:c16="http://schemas.microsoft.com/office/drawing/2014/chart" uri="{C3380CC4-5D6E-409C-BE32-E72D297353CC}">
              <c16:uniqueId val="{00000002-0072-D443-BB55-7680BF21B349}"/>
            </c:ext>
          </c:extLst>
        </c:ser>
        <c:dLbls>
          <c:showLegendKey val="0"/>
          <c:showVal val="0"/>
          <c:showCatName val="0"/>
          <c:showSerName val="0"/>
          <c:showPercent val="0"/>
          <c:showBubbleSize val="0"/>
        </c:dLbls>
        <c:axId val="452768256"/>
        <c:axId val="452769904"/>
      </c:scatterChart>
      <c:valAx>
        <c:axId val="452768256"/>
        <c:scaling>
          <c:orientation val="minMax"/>
        </c:scaling>
        <c:delete val="0"/>
        <c:axPos val="b"/>
        <c:title>
          <c:tx>
            <c:rich>
              <a:bodyPr/>
              <a:lstStyle/>
              <a:p>
                <a:pPr>
                  <a:defRPr/>
                </a:pPr>
                <a:r>
                  <a:rPr lang="it-IT"/>
                  <a:t>Variabile X 1</a:t>
                </a:r>
              </a:p>
            </c:rich>
          </c:tx>
          <c:overlay val="0"/>
        </c:title>
        <c:numFmt formatCode="General" sourceLinked="1"/>
        <c:majorTickMark val="out"/>
        <c:minorTickMark val="none"/>
        <c:tickLblPos val="nextTo"/>
        <c:crossAx val="452769904"/>
        <c:crosses val="autoZero"/>
        <c:crossBetween val="midCat"/>
      </c:valAx>
      <c:valAx>
        <c:axId val="452769904"/>
        <c:scaling>
          <c:orientation val="minMax"/>
        </c:scaling>
        <c:delete val="0"/>
        <c:axPos val="l"/>
        <c:title>
          <c:tx>
            <c:rich>
              <a:bodyPr/>
              <a:lstStyle/>
              <a:p>
                <a:pPr>
                  <a:defRPr/>
                </a:pPr>
                <a:r>
                  <a:rPr lang="it-IT"/>
                  <a:t>Y</a:t>
                </a:r>
              </a:p>
            </c:rich>
          </c:tx>
          <c:overlay val="0"/>
        </c:title>
        <c:numFmt formatCode="General" sourceLinked="1"/>
        <c:majorTickMark val="out"/>
        <c:minorTickMark val="none"/>
        <c:tickLblPos val="nextTo"/>
        <c:crossAx val="452768256"/>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it-IT"/>
              <a:t>Variabile X 2 Tracciato delle approssimazioni</a:t>
            </a:r>
          </a:p>
        </c:rich>
      </c:tx>
      <c:overlay val="0"/>
    </c:title>
    <c:autoTitleDeleted val="0"/>
    <c:plotArea>
      <c:layout/>
      <c:scatterChart>
        <c:scatterStyle val="lineMarker"/>
        <c:varyColors val="0"/>
        <c:ser>
          <c:idx val="0"/>
          <c:order val="0"/>
          <c:tx>
            <c:v>Y</c:v>
          </c:tx>
          <c:spPr>
            <a:ln w="19050">
              <a:noFill/>
            </a:ln>
          </c:spPr>
          <c:xVal>
            <c:numRef>
              <c:f>'Regression_Brazil '!$H$2:$H$81</c:f>
              <c:numCache>
                <c:formatCode>General</c:formatCode>
                <c:ptCount val="80"/>
                <c:pt idx="0">
                  <c:v>-0.42719960076515678</c:v>
                </c:pt>
                <c:pt idx="1">
                  <c:v>-0.25188602060868026</c:v>
                </c:pt>
                <c:pt idx="2">
                  <c:v>-0.28059612650360133</c:v>
                </c:pt>
                <c:pt idx="3">
                  <c:v>-0.1005572553599107</c:v>
                </c:pt>
                <c:pt idx="4">
                  <c:v>-4.3255508322888943E-2</c:v>
                </c:pt>
                <c:pt idx="5">
                  <c:v>-0.20948722486672405</c:v>
                </c:pt>
                <c:pt idx="6">
                  <c:v>-0.24079848655293046</c:v>
                </c:pt>
                <c:pt idx="7">
                  <c:v>-0.30426322714732174</c:v>
                </c:pt>
                <c:pt idx="8">
                  <c:v>-0.57981849525294205</c:v>
                </c:pt>
                <c:pt idx="9">
                  <c:v>-0.55978246907595219</c:v>
                </c:pt>
                <c:pt idx="10">
                  <c:v>-0.41148317993070932</c:v>
                </c:pt>
                <c:pt idx="11">
                  <c:v>-0.30426322714732174</c:v>
                </c:pt>
                <c:pt idx="12">
                  <c:v>-0.26179775786266352</c:v>
                </c:pt>
                <c:pt idx="13">
                  <c:v>-5.6570351488394351E-2</c:v>
                </c:pt>
                <c:pt idx="14">
                  <c:v>-0.3078847797693004</c:v>
                </c:pt>
                <c:pt idx="15">
                  <c:v>-0.24803410058650391</c:v>
                </c:pt>
                <c:pt idx="16">
                  <c:v>-0.17157946065777865</c:v>
                </c:pt>
                <c:pt idx="17">
                  <c:v>-4.1516680550397124E-2</c:v>
                </c:pt>
                <c:pt idx="18">
                  <c:v>3.1821612000062893E-2</c:v>
                </c:pt>
                <c:pt idx="19">
                  <c:v>0.21886775671923045</c:v>
                </c:pt>
                <c:pt idx="20">
                  <c:v>0.30993268114210187</c:v>
                </c:pt>
                <c:pt idx="21">
                  <c:v>0.34358970439007686</c:v>
                </c:pt>
                <c:pt idx="22">
                  <c:v>0.44852459756861141</c:v>
                </c:pt>
                <c:pt idx="23">
                  <c:v>0.65423308723399987</c:v>
                </c:pt>
                <c:pt idx="24">
                  <c:v>0.66320330418687323</c:v>
                </c:pt>
                <c:pt idx="25">
                  <c:v>0.59608546771681403</c:v>
                </c:pt>
                <c:pt idx="26">
                  <c:v>0.72996115368266168</c:v>
                </c:pt>
                <c:pt idx="27">
                  <c:v>0.7091845580935543</c:v>
                </c:pt>
                <c:pt idx="28">
                  <c:v>0.565692525396153</c:v>
                </c:pt>
                <c:pt idx="29">
                  <c:v>0.55770920985568073</c:v>
                </c:pt>
                <c:pt idx="30">
                  <c:v>0.7225441575725714</c:v>
                </c:pt>
                <c:pt idx="31">
                  <c:v>0.7722663851665329</c:v>
                </c:pt>
                <c:pt idx="32">
                  <c:v>0.93557034673689865</c:v>
                </c:pt>
                <c:pt idx="33">
                  <c:v>1.0363822121319755</c:v>
                </c:pt>
                <c:pt idx="34">
                  <c:v>1.2975542178564001</c:v>
                </c:pt>
                <c:pt idx="35">
                  <c:v>1.255805953060902</c:v>
                </c:pt>
                <c:pt idx="36">
                  <c:v>0.61878276545061617</c:v>
                </c:pt>
                <c:pt idx="37">
                  <c:v>0.28668157211819745</c:v>
                </c:pt>
                <c:pt idx="38">
                  <c:v>0.44083225194545572</c:v>
                </c:pt>
                <c:pt idx="39">
                  <c:v>0.5777363290486176</c:v>
                </c:pt>
                <c:pt idx="40">
                  <c:v>0.67752579965698856</c:v>
                </c:pt>
                <c:pt idx="41">
                  <c:v>0.717677178465851</c:v>
                </c:pt>
                <c:pt idx="42">
                  <c:v>0.75204482165029685</c:v>
                </c:pt>
                <c:pt idx="43">
                  <c:v>0.72851432439723662</c:v>
                </c:pt>
                <c:pt idx="44">
                  <c:v>0.85072056752233682</c:v>
                </c:pt>
                <c:pt idx="45">
                  <c:v>1.0511712140679732</c:v>
                </c:pt>
                <c:pt idx="46">
                  <c:v>1.1418846121189199</c:v>
                </c:pt>
                <c:pt idx="47">
                  <c:v>1.1082325320451003</c:v>
                </c:pt>
                <c:pt idx="48">
                  <c:v>1.0857521730510542</c:v>
                </c:pt>
                <c:pt idx="49">
                  <c:v>1.1579288657198172</c:v>
                </c:pt>
                <c:pt idx="50">
                  <c:v>1.0849640176310957</c:v>
                </c:pt>
                <c:pt idx="51">
                  <c:v>1.1248213661287352</c:v>
                </c:pt>
                <c:pt idx="52">
                  <c:v>1.0998337646957661</c:v>
                </c:pt>
                <c:pt idx="53">
                  <c:v>1.129033717769224</c:v>
                </c:pt>
                <c:pt idx="54">
                  <c:v>1.0178841608422844</c:v>
                </c:pt>
                <c:pt idx="55">
                  <c:v>1.0796559699317929</c:v>
                </c:pt>
                <c:pt idx="56">
                  <c:v>1.0612565021243408</c:v>
                </c:pt>
                <c:pt idx="57">
                  <c:v>1.0734084341908723</c:v>
                </c:pt>
                <c:pt idx="58">
                  <c:v>1.0576745468243915</c:v>
                </c:pt>
                <c:pt idx="59">
                  <c:v>1.0278321066070624</c:v>
                </c:pt>
                <c:pt idx="60">
                  <c:v>0.78207338975434681</c:v>
                </c:pt>
                <c:pt idx="61">
                  <c:v>0.48878449268465329</c:v>
                </c:pt>
                <c:pt idx="62">
                  <c:v>0.56588182951406907</c:v>
                </c:pt>
                <c:pt idx="63">
                  <c:v>0.36764785385887577</c:v>
                </c:pt>
                <c:pt idx="64">
                  <c:v>0.23612558527415162</c:v>
                </c:pt>
                <c:pt idx="65">
                  <c:v>-9.3771614761232608E-3</c:v>
                </c:pt>
                <c:pt idx="66">
                  <c:v>0.24373018492259815</c:v>
                </c:pt>
                <c:pt idx="67">
                  <c:v>0.25876806202980468</c:v>
                </c:pt>
                <c:pt idx="68">
                  <c:v>0.36093253442371553</c:v>
                </c:pt>
                <c:pt idx="69">
                  <c:v>0.40679755334194301</c:v>
                </c:pt>
                <c:pt idx="70">
                  <c:v>0.34051168633344853</c:v>
                </c:pt>
                <c:pt idx="71">
                  <c:v>0.4654097604448007</c:v>
                </c:pt>
                <c:pt idx="72">
                  <c:v>0.55694555918855837</c:v>
                </c:pt>
                <c:pt idx="73">
                  <c:v>0.63463490931556743</c:v>
                </c:pt>
                <c:pt idx="74">
                  <c:v>0.73556789660364175</c:v>
                </c:pt>
                <c:pt idx="75">
                  <c:v>0.75846664668058783</c:v>
                </c:pt>
                <c:pt idx="76">
                  <c:v>0.67464370882560631</c:v>
                </c:pt>
                <c:pt idx="77">
                  <c:v>0.62415430925156534</c:v>
                </c:pt>
                <c:pt idx="78">
                  <c:v>0.65336631054810068</c:v>
                </c:pt>
                <c:pt idx="79">
                  <c:v>0.6218301816299151</c:v>
                </c:pt>
              </c:numCache>
            </c:numRef>
          </c:xVal>
          <c:yVal>
            <c:numRef>
              <c:f>'Regression_Brazil '!$E$2:$E$81</c:f>
              <c:numCache>
                <c:formatCode>General</c:formatCode>
                <c:ptCount val="80"/>
                <c:pt idx="0">
                  <c:v>22.568740450472919</c:v>
                </c:pt>
                <c:pt idx="1">
                  <c:v>22.490331414795776</c:v>
                </c:pt>
                <c:pt idx="2">
                  <c:v>22.599264478973829</c:v>
                </c:pt>
                <c:pt idx="3">
                  <c:v>22.596279400745605</c:v>
                </c:pt>
                <c:pt idx="4">
                  <c:v>22.591099225384887</c:v>
                </c:pt>
                <c:pt idx="5">
                  <c:v>22.528057131866628</c:v>
                </c:pt>
                <c:pt idx="6">
                  <c:v>22.632269156051876</c:v>
                </c:pt>
                <c:pt idx="7">
                  <c:v>22.640267067361506</c:v>
                </c:pt>
                <c:pt idx="8">
                  <c:v>22.646870989664365</c:v>
                </c:pt>
                <c:pt idx="9">
                  <c:v>22.602544064715971</c:v>
                </c:pt>
                <c:pt idx="10">
                  <c:v>22.686777480677165</c:v>
                </c:pt>
                <c:pt idx="11">
                  <c:v>22.545529449466212</c:v>
                </c:pt>
                <c:pt idx="12">
                  <c:v>22.629286651508149</c:v>
                </c:pt>
                <c:pt idx="13">
                  <c:v>22.548634690323372</c:v>
                </c:pt>
                <c:pt idx="14">
                  <c:v>22.74585896162937</c:v>
                </c:pt>
                <c:pt idx="15">
                  <c:v>22.647091569583662</c:v>
                </c:pt>
                <c:pt idx="16">
                  <c:v>22.659613945486964</c:v>
                </c:pt>
                <c:pt idx="17">
                  <c:v>22.647941251283346</c:v>
                </c:pt>
                <c:pt idx="18">
                  <c:v>22.733551998846252</c:v>
                </c:pt>
                <c:pt idx="19">
                  <c:v>22.755284612491856</c:v>
                </c:pt>
                <c:pt idx="20">
                  <c:v>22.826003367611257</c:v>
                </c:pt>
                <c:pt idx="21">
                  <c:v>22.800114404272016</c:v>
                </c:pt>
                <c:pt idx="22">
                  <c:v>22.982740560127226</c:v>
                </c:pt>
                <c:pt idx="23">
                  <c:v>22.97521526726576</c:v>
                </c:pt>
                <c:pt idx="24">
                  <c:v>23.021810475486852</c:v>
                </c:pt>
                <c:pt idx="25">
                  <c:v>23.002201772983355</c:v>
                </c:pt>
                <c:pt idx="26">
                  <c:v>23.058923973491382</c:v>
                </c:pt>
                <c:pt idx="27">
                  <c:v>23.06306443904527</c:v>
                </c:pt>
                <c:pt idx="28">
                  <c:v>23.129641229133405</c:v>
                </c:pt>
                <c:pt idx="29">
                  <c:v>23.142378251562317</c:v>
                </c:pt>
                <c:pt idx="30">
                  <c:v>23.10586482267577</c:v>
                </c:pt>
                <c:pt idx="31">
                  <c:v>23.23353993222424</c:v>
                </c:pt>
                <c:pt idx="32">
                  <c:v>23.243457873288225</c:v>
                </c:pt>
                <c:pt idx="33">
                  <c:v>23.253874873622458</c:v>
                </c:pt>
                <c:pt idx="34">
                  <c:v>23.205586583082312</c:v>
                </c:pt>
                <c:pt idx="35">
                  <c:v>23.215241764240488</c:v>
                </c:pt>
                <c:pt idx="36">
                  <c:v>23.280618041134758</c:v>
                </c:pt>
                <c:pt idx="37">
                  <c:v>23.304788724637064</c:v>
                </c:pt>
                <c:pt idx="38">
                  <c:v>23.411495482259728</c:v>
                </c:pt>
                <c:pt idx="39">
                  <c:v>23.518726781725203</c:v>
                </c:pt>
                <c:pt idx="40">
                  <c:v>23.56500312941813</c:v>
                </c:pt>
                <c:pt idx="41">
                  <c:v>23.441989734602465</c:v>
                </c:pt>
                <c:pt idx="42">
                  <c:v>23.643293284137989</c:v>
                </c:pt>
                <c:pt idx="43">
                  <c:v>23.668426936636845</c:v>
                </c:pt>
                <c:pt idx="44">
                  <c:v>23.72008587636854</c:v>
                </c:pt>
                <c:pt idx="45">
                  <c:v>23.673653587717279</c:v>
                </c:pt>
                <c:pt idx="46">
                  <c:v>23.774040313784365</c:v>
                </c:pt>
                <c:pt idx="47">
                  <c:v>23.759984774837839</c:v>
                </c:pt>
                <c:pt idx="48">
                  <c:v>23.7934505948744</c:v>
                </c:pt>
                <c:pt idx="49">
                  <c:v>23.744891105903939</c:v>
                </c:pt>
                <c:pt idx="50">
                  <c:v>23.847922589444014</c:v>
                </c:pt>
                <c:pt idx="51">
                  <c:v>23.812001536793417</c:v>
                </c:pt>
                <c:pt idx="52">
                  <c:v>23.777789719916782</c:v>
                </c:pt>
                <c:pt idx="53">
                  <c:v>23.758343481893139</c:v>
                </c:pt>
                <c:pt idx="54">
                  <c:v>23.837102519888493</c:v>
                </c:pt>
                <c:pt idx="55">
                  <c:v>23.868234413779071</c:v>
                </c:pt>
                <c:pt idx="56">
                  <c:v>23.87547308367817</c:v>
                </c:pt>
                <c:pt idx="57">
                  <c:v>23.735452090270705</c:v>
                </c:pt>
                <c:pt idx="58">
                  <c:v>23.841598552908277</c:v>
                </c:pt>
                <c:pt idx="59">
                  <c:v>23.839690084778201</c:v>
                </c:pt>
                <c:pt idx="60">
                  <c:v>23.869041946104105</c:v>
                </c:pt>
                <c:pt idx="61">
                  <c:v>23.757094344741102</c:v>
                </c:pt>
                <c:pt idx="62">
                  <c:v>23.891112389454388</c:v>
                </c:pt>
                <c:pt idx="63">
                  <c:v>23.904939737800181</c:v>
                </c:pt>
                <c:pt idx="64">
                  <c:v>23.866535670947844</c:v>
                </c:pt>
                <c:pt idx="65">
                  <c:v>23.803585589897338</c:v>
                </c:pt>
                <c:pt idx="66">
                  <c:v>23.874210261467788</c:v>
                </c:pt>
                <c:pt idx="67">
                  <c:v>23.937346803592757</c:v>
                </c:pt>
                <c:pt idx="68">
                  <c:v>23.921891361119648</c:v>
                </c:pt>
                <c:pt idx="69">
                  <c:v>23.826985741172653</c:v>
                </c:pt>
                <c:pt idx="70">
                  <c:v>23.902785553399806</c:v>
                </c:pt>
                <c:pt idx="71">
                  <c:v>23.878769771173637</c:v>
                </c:pt>
                <c:pt idx="72">
                  <c:v>23.902293051152544</c:v>
                </c:pt>
                <c:pt idx="73">
                  <c:v>23.806119035156133</c:v>
                </c:pt>
                <c:pt idx="74">
                  <c:v>23.938897798373997</c:v>
                </c:pt>
                <c:pt idx="75">
                  <c:v>23.946432733503556</c:v>
                </c:pt>
                <c:pt idx="76">
                  <c:v>23.944588378361008</c:v>
                </c:pt>
                <c:pt idx="77">
                  <c:v>23.780088349735514</c:v>
                </c:pt>
                <c:pt idx="78">
                  <c:v>23.924203395082536</c:v>
                </c:pt>
                <c:pt idx="79">
                  <c:v>23.964790894506027</c:v>
                </c:pt>
              </c:numCache>
            </c:numRef>
          </c:yVal>
          <c:smooth val="0"/>
          <c:extLst>
            <c:ext xmlns:c16="http://schemas.microsoft.com/office/drawing/2014/chart" uri="{C3380CC4-5D6E-409C-BE32-E72D297353CC}">
              <c16:uniqueId val="{00000001-1208-D04B-B587-880FC6D6C753}"/>
            </c:ext>
          </c:extLst>
        </c:ser>
        <c:ser>
          <c:idx val="1"/>
          <c:order val="1"/>
          <c:tx>
            <c:v>Y prevista</c:v>
          </c:tx>
          <c:spPr>
            <a:ln w="19050">
              <a:noFill/>
            </a:ln>
          </c:spPr>
          <c:xVal>
            <c:numRef>
              <c:f>'Regression_Brazil '!$H$2:$H$81</c:f>
              <c:numCache>
                <c:formatCode>General</c:formatCode>
                <c:ptCount val="80"/>
                <c:pt idx="0">
                  <c:v>-0.42719960076515678</c:v>
                </c:pt>
                <c:pt idx="1">
                  <c:v>-0.25188602060868026</c:v>
                </c:pt>
                <c:pt idx="2">
                  <c:v>-0.28059612650360133</c:v>
                </c:pt>
                <c:pt idx="3">
                  <c:v>-0.1005572553599107</c:v>
                </c:pt>
                <c:pt idx="4">
                  <c:v>-4.3255508322888943E-2</c:v>
                </c:pt>
                <c:pt idx="5">
                  <c:v>-0.20948722486672405</c:v>
                </c:pt>
                <c:pt idx="6">
                  <c:v>-0.24079848655293046</c:v>
                </c:pt>
                <c:pt idx="7">
                  <c:v>-0.30426322714732174</c:v>
                </c:pt>
                <c:pt idx="8">
                  <c:v>-0.57981849525294205</c:v>
                </c:pt>
                <c:pt idx="9">
                  <c:v>-0.55978246907595219</c:v>
                </c:pt>
                <c:pt idx="10">
                  <c:v>-0.41148317993070932</c:v>
                </c:pt>
                <c:pt idx="11">
                  <c:v>-0.30426322714732174</c:v>
                </c:pt>
                <c:pt idx="12">
                  <c:v>-0.26179775786266352</c:v>
                </c:pt>
                <c:pt idx="13">
                  <c:v>-5.6570351488394351E-2</c:v>
                </c:pt>
                <c:pt idx="14">
                  <c:v>-0.3078847797693004</c:v>
                </c:pt>
                <c:pt idx="15">
                  <c:v>-0.24803410058650391</c:v>
                </c:pt>
                <c:pt idx="16">
                  <c:v>-0.17157946065777865</c:v>
                </c:pt>
                <c:pt idx="17">
                  <c:v>-4.1516680550397124E-2</c:v>
                </c:pt>
                <c:pt idx="18">
                  <c:v>3.1821612000062893E-2</c:v>
                </c:pt>
                <c:pt idx="19">
                  <c:v>0.21886775671923045</c:v>
                </c:pt>
                <c:pt idx="20">
                  <c:v>0.30993268114210187</c:v>
                </c:pt>
                <c:pt idx="21">
                  <c:v>0.34358970439007686</c:v>
                </c:pt>
                <c:pt idx="22">
                  <c:v>0.44852459756861141</c:v>
                </c:pt>
                <c:pt idx="23">
                  <c:v>0.65423308723399987</c:v>
                </c:pt>
                <c:pt idx="24">
                  <c:v>0.66320330418687323</c:v>
                </c:pt>
                <c:pt idx="25">
                  <c:v>0.59608546771681403</c:v>
                </c:pt>
                <c:pt idx="26">
                  <c:v>0.72996115368266168</c:v>
                </c:pt>
                <c:pt idx="27">
                  <c:v>0.7091845580935543</c:v>
                </c:pt>
                <c:pt idx="28">
                  <c:v>0.565692525396153</c:v>
                </c:pt>
                <c:pt idx="29">
                  <c:v>0.55770920985568073</c:v>
                </c:pt>
                <c:pt idx="30">
                  <c:v>0.7225441575725714</c:v>
                </c:pt>
                <c:pt idx="31">
                  <c:v>0.7722663851665329</c:v>
                </c:pt>
                <c:pt idx="32">
                  <c:v>0.93557034673689865</c:v>
                </c:pt>
                <c:pt idx="33">
                  <c:v>1.0363822121319755</c:v>
                </c:pt>
                <c:pt idx="34">
                  <c:v>1.2975542178564001</c:v>
                </c:pt>
                <c:pt idx="35">
                  <c:v>1.255805953060902</c:v>
                </c:pt>
                <c:pt idx="36">
                  <c:v>0.61878276545061617</c:v>
                </c:pt>
                <c:pt idx="37">
                  <c:v>0.28668157211819745</c:v>
                </c:pt>
                <c:pt idx="38">
                  <c:v>0.44083225194545572</c:v>
                </c:pt>
                <c:pt idx="39">
                  <c:v>0.5777363290486176</c:v>
                </c:pt>
                <c:pt idx="40">
                  <c:v>0.67752579965698856</c:v>
                </c:pt>
                <c:pt idx="41">
                  <c:v>0.717677178465851</c:v>
                </c:pt>
                <c:pt idx="42">
                  <c:v>0.75204482165029685</c:v>
                </c:pt>
                <c:pt idx="43">
                  <c:v>0.72851432439723662</c:v>
                </c:pt>
                <c:pt idx="44">
                  <c:v>0.85072056752233682</c:v>
                </c:pt>
                <c:pt idx="45">
                  <c:v>1.0511712140679732</c:v>
                </c:pt>
                <c:pt idx="46">
                  <c:v>1.1418846121189199</c:v>
                </c:pt>
                <c:pt idx="47">
                  <c:v>1.1082325320451003</c:v>
                </c:pt>
                <c:pt idx="48">
                  <c:v>1.0857521730510542</c:v>
                </c:pt>
                <c:pt idx="49">
                  <c:v>1.1579288657198172</c:v>
                </c:pt>
                <c:pt idx="50">
                  <c:v>1.0849640176310957</c:v>
                </c:pt>
                <c:pt idx="51">
                  <c:v>1.1248213661287352</c:v>
                </c:pt>
                <c:pt idx="52">
                  <c:v>1.0998337646957661</c:v>
                </c:pt>
                <c:pt idx="53">
                  <c:v>1.129033717769224</c:v>
                </c:pt>
                <c:pt idx="54">
                  <c:v>1.0178841608422844</c:v>
                </c:pt>
                <c:pt idx="55">
                  <c:v>1.0796559699317929</c:v>
                </c:pt>
                <c:pt idx="56">
                  <c:v>1.0612565021243408</c:v>
                </c:pt>
                <c:pt idx="57">
                  <c:v>1.0734084341908723</c:v>
                </c:pt>
                <c:pt idx="58">
                  <c:v>1.0576745468243915</c:v>
                </c:pt>
                <c:pt idx="59">
                  <c:v>1.0278321066070624</c:v>
                </c:pt>
                <c:pt idx="60">
                  <c:v>0.78207338975434681</c:v>
                </c:pt>
                <c:pt idx="61">
                  <c:v>0.48878449268465329</c:v>
                </c:pt>
                <c:pt idx="62">
                  <c:v>0.56588182951406907</c:v>
                </c:pt>
                <c:pt idx="63">
                  <c:v>0.36764785385887577</c:v>
                </c:pt>
                <c:pt idx="64">
                  <c:v>0.23612558527415162</c:v>
                </c:pt>
                <c:pt idx="65">
                  <c:v>-9.3771614761232608E-3</c:v>
                </c:pt>
                <c:pt idx="66">
                  <c:v>0.24373018492259815</c:v>
                </c:pt>
                <c:pt idx="67">
                  <c:v>0.25876806202980468</c:v>
                </c:pt>
                <c:pt idx="68">
                  <c:v>0.36093253442371553</c:v>
                </c:pt>
                <c:pt idx="69">
                  <c:v>0.40679755334194301</c:v>
                </c:pt>
                <c:pt idx="70">
                  <c:v>0.34051168633344853</c:v>
                </c:pt>
                <c:pt idx="71">
                  <c:v>0.4654097604448007</c:v>
                </c:pt>
                <c:pt idx="72">
                  <c:v>0.55694555918855837</c:v>
                </c:pt>
                <c:pt idx="73">
                  <c:v>0.63463490931556743</c:v>
                </c:pt>
                <c:pt idx="74">
                  <c:v>0.73556789660364175</c:v>
                </c:pt>
                <c:pt idx="75">
                  <c:v>0.75846664668058783</c:v>
                </c:pt>
                <c:pt idx="76">
                  <c:v>0.67464370882560631</c:v>
                </c:pt>
                <c:pt idx="77">
                  <c:v>0.62415430925156534</c:v>
                </c:pt>
                <c:pt idx="78">
                  <c:v>0.65336631054810068</c:v>
                </c:pt>
                <c:pt idx="79">
                  <c:v>0.6218301816299151</c:v>
                </c:pt>
              </c:numCache>
            </c:numRef>
          </c:xVal>
          <c:yVal>
            <c:numRef>
              <c:f>'Regression_Brazil '!$B$111:$B$190</c:f>
              <c:numCache>
                <c:formatCode>General</c:formatCode>
                <c:ptCount val="80"/>
                <c:pt idx="0">
                  <c:v>22.370032556440957</c:v>
                </c:pt>
                <c:pt idx="1">
                  <c:v>22.464965939322173</c:v>
                </c:pt>
                <c:pt idx="2">
                  <c:v>22.597452848827928</c:v>
                </c:pt>
                <c:pt idx="3">
                  <c:v>22.556256775112171</c:v>
                </c:pt>
                <c:pt idx="4">
                  <c:v>22.419586737036699</c:v>
                </c:pt>
                <c:pt idx="5">
                  <c:v>22.540085263487295</c:v>
                </c:pt>
                <c:pt idx="6">
                  <c:v>22.60643046888066</c:v>
                </c:pt>
                <c:pt idx="7">
                  <c:v>22.576317207789764</c:v>
                </c:pt>
                <c:pt idx="8">
                  <c:v>22.540552688835447</c:v>
                </c:pt>
                <c:pt idx="9">
                  <c:v>22.690133475793424</c:v>
                </c:pt>
                <c:pt idx="10">
                  <c:v>22.787619331255446</c:v>
                </c:pt>
                <c:pt idx="11">
                  <c:v>22.759053299900728</c:v>
                </c:pt>
                <c:pt idx="12">
                  <c:v>22.574443449694513</c:v>
                </c:pt>
                <c:pt idx="13">
                  <c:v>22.621052137474216</c:v>
                </c:pt>
                <c:pt idx="14">
                  <c:v>22.790209875308868</c:v>
                </c:pt>
                <c:pt idx="15">
                  <c:v>22.76945182899675</c:v>
                </c:pt>
                <c:pt idx="16">
                  <c:v>22.694863564608369</c:v>
                </c:pt>
                <c:pt idx="17">
                  <c:v>22.839792043169631</c:v>
                </c:pt>
                <c:pt idx="18">
                  <c:v>22.954721207320194</c:v>
                </c:pt>
                <c:pt idx="19">
                  <c:v>22.897471262522746</c:v>
                </c:pt>
                <c:pt idx="20">
                  <c:v>22.750306998949576</c:v>
                </c:pt>
                <c:pt idx="21">
                  <c:v>22.923967391140049</c:v>
                </c:pt>
                <c:pt idx="22">
                  <c:v>22.949998874054998</c:v>
                </c:pt>
                <c:pt idx="23">
                  <c:v>22.890404436769408</c:v>
                </c:pt>
                <c:pt idx="24">
                  <c:v>22.833836148192628</c:v>
                </c:pt>
                <c:pt idx="25">
                  <c:v>22.95695800566078</c:v>
                </c:pt>
                <c:pt idx="26">
                  <c:v>23.054832279452075</c:v>
                </c:pt>
                <c:pt idx="27">
                  <c:v>23.049492821963433</c:v>
                </c:pt>
                <c:pt idx="28">
                  <c:v>23.036182010996743</c:v>
                </c:pt>
                <c:pt idx="29">
                  <c:v>23.193823804242552</c:v>
                </c:pt>
                <c:pt idx="30">
                  <c:v>23.262958035788554</c:v>
                </c:pt>
                <c:pt idx="31">
                  <c:v>23.270229049101683</c:v>
                </c:pt>
                <c:pt idx="32">
                  <c:v>23.181185528494069</c:v>
                </c:pt>
                <c:pt idx="33">
                  <c:v>23.323889950680144</c:v>
                </c:pt>
                <c:pt idx="34">
                  <c:v>23.396301138873181</c:v>
                </c:pt>
                <c:pt idx="35">
                  <c:v>23.213824898623596</c:v>
                </c:pt>
                <c:pt idx="36">
                  <c:v>23.153436762253147</c:v>
                </c:pt>
                <c:pt idx="37">
                  <c:v>23.388104753552035</c:v>
                </c:pt>
                <c:pt idx="38">
                  <c:v>23.519545413081609</c:v>
                </c:pt>
                <c:pt idx="39">
                  <c:v>23.532865920345493</c:v>
                </c:pt>
                <c:pt idx="40">
                  <c:v>23.461277103570367</c:v>
                </c:pt>
                <c:pt idx="41">
                  <c:v>23.600971984830117</c:v>
                </c:pt>
                <c:pt idx="42">
                  <c:v>23.701389164195657</c:v>
                </c:pt>
                <c:pt idx="43">
                  <c:v>23.704212445819905</c:v>
                </c:pt>
                <c:pt idx="44">
                  <c:v>23.611307580838112</c:v>
                </c:pt>
                <c:pt idx="45">
                  <c:v>23.702936614512748</c:v>
                </c:pt>
                <c:pt idx="46">
                  <c:v>23.751983179481829</c:v>
                </c:pt>
                <c:pt idx="47">
                  <c:v>23.722680176382156</c:v>
                </c:pt>
                <c:pt idx="48">
                  <c:v>23.627208451640449</c:v>
                </c:pt>
                <c:pt idx="49">
                  <c:v>23.717867236914039</c:v>
                </c:pt>
                <c:pt idx="50">
                  <c:v>23.851941085614875</c:v>
                </c:pt>
                <c:pt idx="51">
                  <c:v>23.808335402611515</c:v>
                </c:pt>
                <c:pt idx="52">
                  <c:v>23.721764728082885</c:v>
                </c:pt>
                <c:pt idx="53">
                  <c:v>23.866325259417046</c:v>
                </c:pt>
                <c:pt idx="54">
                  <c:v>23.963521509766803</c:v>
                </c:pt>
                <c:pt idx="55">
                  <c:v>23.907552565011493</c:v>
                </c:pt>
                <c:pt idx="56">
                  <c:v>23.852794146824735</c:v>
                </c:pt>
                <c:pt idx="57">
                  <c:v>23.861269409246059</c:v>
                </c:pt>
                <c:pt idx="58">
                  <c:v>23.932610075126078</c:v>
                </c:pt>
                <c:pt idx="59">
                  <c:v>23.909289744686159</c:v>
                </c:pt>
                <c:pt idx="60">
                  <c:v>23.847625338004413</c:v>
                </c:pt>
                <c:pt idx="61">
                  <c:v>23.873621578642492</c:v>
                </c:pt>
                <c:pt idx="62">
                  <c:v>23.869832552459044</c:v>
                </c:pt>
                <c:pt idx="63">
                  <c:v>23.831156552962813</c:v>
                </c:pt>
                <c:pt idx="64">
                  <c:v>23.76196092982309</c:v>
                </c:pt>
                <c:pt idx="65">
                  <c:v>23.851326887291144</c:v>
                </c:pt>
                <c:pt idx="66">
                  <c:v>23.842082692543446</c:v>
                </c:pt>
                <c:pt idx="67">
                  <c:v>23.769464458768169</c:v>
                </c:pt>
                <c:pt idx="68">
                  <c:v>23.748340098541433</c:v>
                </c:pt>
                <c:pt idx="69">
                  <c:v>23.799547138735459</c:v>
                </c:pt>
                <c:pt idx="70">
                  <c:v>23.88231719532628</c:v>
                </c:pt>
                <c:pt idx="71">
                  <c:v>23.821156457119962</c:v>
                </c:pt>
                <c:pt idx="72">
                  <c:v>23.77759026345089</c:v>
                </c:pt>
                <c:pt idx="73">
                  <c:v>23.81260236323746</c:v>
                </c:pt>
                <c:pt idx="74">
                  <c:v>23.879796778104119</c:v>
                </c:pt>
                <c:pt idx="75">
                  <c:v>23.822537132481173</c:v>
                </c:pt>
                <c:pt idx="76">
                  <c:v>23.79247841948639</c:v>
                </c:pt>
                <c:pt idx="77">
                  <c:v>23.861191443584676</c:v>
                </c:pt>
                <c:pt idx="78">
                  <c:v>23.935339072870722</c:v>
                </c:pt>
                <c:pt idx="79">
                  <c:v>23.900881427572742</c:v>
                </c:pt>
              </c:numCache>
            </c:numRef>
          </c:yVal>
          <c:smooth val="0"/>
          <c:extLst>
            <c:ext xmlns:c16="http://schemas.microsoft.com/office/drawing/2014/chart" uri="{C3380CC4-5D6E-409C-BE32-E72D297353CC}">
              <c16:uniqueId val="{00000002-1208-D04B-B587-880FC6D6C753}"/>
            </c:ext>
          </c:extLst>
        </c:ser>
        <c:dLbls>
          <c:showLegendKey val="0"/>
          <c:showVal val="0"/>
          <c:showCatName val="0"/>
          <c:showSerName val="0"/>
          <c:showPercent val="0"/>
          <c:showBubbleSize val="0"/>
        </c:dLbls>
        <c:axId val="1764369631"/>
        <c:axId val="1764289615"/>
      </c:scatterChart>
      <c:valAx>
        <c:axId val="1764369631"/>
        <c:scaling>
          <c:orientation val="minMax"/>
        </c:scaling>
        <c:delete val="0"/>
        <c:axPos val="b"/>
        <c:title>
          <c:tx>
            <c:rich>
              <a:bodyPr/>
              <a:lstStyle/>
              <a:p>
                <a:pPr>
                  <a:defRPr/>
                </a:pPr>
                <a:r>
                  <a:rPr lang="it-IT"/>
                  <a:t>Variabile X 2</a:t>
                </a:r>
              </a:p>
            </c:rich>
          </c:tx>
          <c:overlay val="0"/>
        </c:title>
        <c:numFmt formatCode="General" sourceLinked="1"/>
        <c:majorTickMark val="out"/>
        <c:minorTickMark val="none"/>
        <c:tickLblPos val="nextTo"/>
        <c:crossAx val="1764289615"/>
        <c:crosses val="autoZero"/>
        <c:crossBetween val="midCat"/>
      </c:valAx>
      <c:valAx>
        <c:axId val="1764289615"/>
        <c:scaling>
          <c:orientation val="minMax"/>
        </c:scaling>
        <c:delete val="0"/>
        <c:axPos val="l"/>
        <c:title>
          <c:tx>
            <c:rich>
              <a:bodyPr/>
              <a:lstStyle/>
              <a:p>
                <a:pPr>
                  <a:defRPr/>
                </a:pPr>
                <a:r>
                  <a:rPr lang="it-IT"/>
                  <a:t>Y</a:t>
                </a:r>
              </a:p>
            </c:rich>
          </c:tx>
          <c:overlay val="0"/>
        </c:title>
        <c:numFmt formatCode="General" sourceLinked="1"/>
        <c:majorTickMark val="out"/>
        <c:minorTickMark val="none"/>
        <c:tickLblPos val="nextTo"/>
        <c:crossAx val="1764369631"/>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RPK</a:t>
            </a:r>
            <a:r>
              <a:rPr lang="it-IT" baseline="0"/>
              <a:t> forcasted </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spPr>
            <a:ln w="28575" cap="rnd">
              <a:solidFill>
                <a:schemeClr val="accent1"/>
              </a:solidFill>
              <a:round/>
            </a:ln>
            <a:effectLst/>
          </c:spPr>
          <c:marker>
            <c:symbol val="none"/>
          </c:marker>
          <c:dPt>
            <c:idx val="11"/>
            <c:marker>
              <c:symbol val="none"/>
            </c:marker>
            <c:bubble3D val="0"/>
            <c:spPr>
              <a:ln w="28575" cap="rnd">
                <a:solidFill>
                  <a:srgbClr val="C00000"/>
                </a:solidFill>
                <a:round/>
              </a:ln>
              <a:effectLst/>
            </c:spPr>
            <c:extLst>
              <c:ext xmlns:c16="http://schemas.microsoft.com/office/drawing/2014/chart" uri="{C3380CC4-5D6E-409C-BE32-E72D297353CC}">
                <c16:uniqueId val="{00000001-9327-464B-AF14-7C29D656FEC8}"/>
              </c:ext>
            </c:extLst>
          </c:dPt>
          <c:dPt>
            <c:idx val="12"/>
            <c:marker>
              <c:symbol val="none"/>
            </c:marker>
            <c:bubble3D val="0"/>
            <c:spPr>
              <a:ln w="28575" cap="rnd">
                <a:solidFill>
                  <a:srgbClr val="C00000"/>
                </a:solidFill>
                <a:round/>
              </a:ln>
              <a:effectLst/>
            </c:spPr>
            <c:extLst>
              <c:ext xmlns:c16="http://schemas.microsoft.com/office/drawing/2014/chart" uri="{C3380CC4-5D6E-409C-BE32-E72D297353CC}">
                <c16:uniqueId val="{00000003-9327-464B-AF14-7C29D656FEC8}"/>
              </c:ext>
            </c:extLst>
          </c:dPt>
          <c:dPt>
            <c:idx val="13"/>
            <c:marker>
              <c:symbol val="none"/>
            </c:marker>
            <c:bubble3D val="0"/>
            <c:spPr>
              <a:ln w="28575" cap="rnd">
                <a:solidFill>
                  <a:srgbClr val="C00000"/>
                </a:solidFill>
                <a:round/>
              </a:ln>
              <a:effectLst/>
            </c:spPr>
            <c:extLst>
              <c:ext xmlns:c16="http://schemas.microsoft.com/office/drawing/2014/chart" uri="{C3380CC4-5D6E-409C-BE32-E72D297353CC}">
                <c16:uniqueId val="{00000005-9327-464B-AF14-7C29D656FEC8}"/>
              </c:ext>
            </c:extLst>
          </c:dPt>
          <c:dPt>
            <c:idx val="14"/>
            <c:marker>
              <c:symbol val="none"/>
            </c:marker>
            <c:bubble3D val="0"/>
            <c:spPr>
              <a:ln w="28575" cap="rnd">
                <a:solidFill>
                  <a:srgbClr val="C00000"/>
                </a:solidFill>
                <a:round/>
              </a:ln>
              <a:effectLst/>
            </c:spPr>
            <c:extLst>
              <c:ext xmlns:c16="http://schemas.microsoft.com/office/drawing/2014/chart" uri="{C3380CC4-5D6E-409C-BE32-E72D297353CC}">
                <c16:uniqueId val="{00000007-9327-464B-AF14-7C29D656FEC8}"/>
              </c:ext>
            </c:extLst>
          </c:dPt>
          <c:dPt>
            <c:idx val="15"/>
            <c:marker>
              <c:symbol val="none"/>
            </c:marker>
            <c:bubble3D val="0"/>
            <c:spPr>
              <a:ln w="28575" cap="rnd">
                <a:solidFill>
                  <a:srgbClr val="C00000"/>
                </a:solidFill>
                <a:round/>
              </a:ln>
              <a:effectLst/>
            </c:spPr>
            <c:extLst>
              <c:ext xmlns:c16="http://schemas.microsoft.com/office/drawing/2014/chart" uri="{C3380CC4-5D6E-409C-BE32-E72D297353CC}">
                <c16:uniqueId val="{00000009-9327-464B-AF14-7C29D656FEC8}"/>
              </c:ext>
            </c:extLst>
          </c:dPt>
          <c:cat>
            <c:numRef>
              <c:f>Bra_Mkt_Sh!$C$4:$R$4</c:f>
              <c:numCache>
                <c:formatCode>General</c:formatCode>
                <c:ptCount val="16"/>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numCache>
            </c:numRef>
          </c:cat>
          <c:val>
            <c:numRef>
              <c:f>Bra_Mkt_Sh!$C$65:$R$65</c:f>
              <c:numCache>
                <c:formatCode>#,##0</c:formatCode>
                <c:ptCount val="16"/>
                <c:pt idx="0">
                  <c:v>35083621</c:v>
                </c:pt>
                <c:pt idx="1">
                  <c:v>34937635</c:v>
                </c:pt>
                <c:pt idx="2">
                  <c:v>35592453</c:v>
                </c:pt>
                <c:pt idx="3">
                  <c:v>34624913</c:v>
                </c:pt>
                <c:pt idx="4">
                  <c:v>30930564</c:v>
                </c:pt>
                <c:pt idx="5">
                  <c:v>29943349.999999996</c:v>
                </c:pt>
                <c:pt idx="6">
                  <c:v>30589262.000000004</c:v>
                </c:pt>
                <c:pt idx="7">
                  <c:v>33483073.000000004</c:v>
                </c:pt>
                <c:pt idx="8">
                  <c:v>15822305.999999998</c:v>
                </c:pt>
                <c:pt idx="9">
                  <c:v>20247851</c:v>
                </c:pt>
                <c:pt idx="10">
                  <c:v>32769717.326544225</c:v>
                </c:pt>
                <c:pt idx="11">
                  <c:v>33514651.611420378</c:v>
                </c:pt>
                <c:pt idx="12">
                  <c:v>35635813.040730737</c:v>
                </c:pt>
                <c:pt idx="13">
                  <c:v>36984689.530110471</c:v>
                </c:pt>
                <c:pt idx="14">
                  <c:v>38033619.470825978</c:v>
                </c:pt>
                <c:pt idx="15">
                  <c:v>39121203.710875101</c:v>
                </c:pt>
              </c:numCache>
            </c:numRef>
          </c:val>
          <c:smooth val="0"/>
          <c:extLst>
            <c:ext xmlns:c16="http://schemas.microsoft.com/office/drawing/2014/chart" uri="{C3380CC4-5D6E-409C-BE32-E72D297353CC}">
              <c16:uniqueId val="{0000000A-9327-464B-AF14-7C29D656FEC8}"/>
            </c:ext>
          </c:extLst>
        </c:ser>
        <c:dLbls>
          <c:showLegendKey val="0"/>
          <c:showVal val="0"/>
          <c:showCatName val="0"/>
          <c:showSerName val="0"/>
          <c:showPercent val="0"/>
          <c:showBubbleSize val="0"/>
        </c:dLbls>
        <c:smooth val="0"/>
        <c:axId val="1123449087"/>
        <c:axId val="1123450735"/>
      </c:lineChart>
      <c:catAx>
        <c:axId val="112344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123450735"/>
        <c:crosses val="autoZero"/>
        <c:auto val="1"/>
        <c:lblAlgn val="ctr"/>
        <c:lblOffset val="100"/>
        <c:noMultiLvlLbl val="0"/>
      </c:catAx>
      <c:valAx>
        <c:axId val="11234507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123449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International</a:t>
            </a:r>
            <a:r>
              <a:rPr lang="it-IT" baseline="0"/>
              <a:t> Passengers</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spPr>
            <a:ln w="28575" cap="rnd">
              <a:solidFill>
                <a:schemeClr val="accent1"/>
              </a:solidFill>
              <a:round/>
            </a:ln>
            <a:effectLst/>
          </c:spPr>
          <c:marker>
            <c:symbol val="none"/>
          </c:marker>
          <c:cat>
            <c:numRef>
              <c:f>Int_Mkt_Sh!$S$2:$AB$2</c:f>
              <c:numCache>
                <c:formatCode>General</c:formatCode>
                <c:ptCount val="10"/>
                <c:pt idx="0">
                  <c:v>2018</c:v>
                </c:pt>
                <c:pt idx="1">
                  <c:v>2019</c:v>
                </c:pt>
                <c:pt idx="2">
                  <c:v>2020</c:v>
                </c:pt>
                <c:pt idx="3">
                  <c:v>2021</c:v>
                </c:pt>
                <c:pt idx="4">
                  <c:v>2022</c:v>
                </c:pt>
                <c:pt idx="5">
                  <c:v>2023</c:v>
                </c:pt>
                <c:pt idx="6">
                  <c:v>2024</c:v>
                </c:pt>
                <c:pt idx="7">
                  <c:v>2025</c:v>
                </c:pt>
                <c:pt idx="8">
                  <c:v>2026</c:v>
                </c:pt>
                <c:pt idx="9">
                  <c:v>2027</c:v>
                </c:pt>
              </c:numCache>
            </c:numRef>
          </c:cat>
          <c:val>
            <c:numRef>
              <c:f>Int_Mkt_Sh!$S$14:$AB$14</c:f>
              <c:numCache>
                <c:formatCode>#,##0</c:formatCode>
                <c:ptCount val="10"/>
                <c:pt idx="0">
                  <c:v>62073676</c:v>
                </c:pt>
                <c:pt idx="1">
                  <c:v>63150964</c:v>
                </c:pt>
                <c:pt idx="2">
                  <c:v>17018290</c:v>
                </c:pt>
                <c:pt idx="3">
                  <c:v>18479699</c:v>
                </c:pt>
                <c:pt idx="4">
                  <c:v>24639598.666666668</c:v>
                </c:pt>
                <c:pt idx="5">
                  <c:v>47363223</c:v>
                </c:pt>
                <c:pt idx="6">
                  <c:v>63150964</c:v>
                </c:pt>
                <c:pt idx="7">
                  <c:v>67800750.425779402</c:v>
                </c:pt>
                <c:pt idx="8">
                  <c:v>72792899.223182485</c:v>
                </c:pt>
                <c:pt idx="9">
                  <c:v>78152618.430336326</c:v>
                </c:pt>
              </c:numCache>
            </c:numRef>
          </c:val>
          <c:smooth val="0"/>
          <c:extLst>
            <c:ext xmlns:c16="http://schemas.microsoft.com/office/drawing/2014/chart" uri="{C3380CC4-5D6E-409C-BE32-E72D297353CC}">
              <c16:uniqueId val="{00000000-D367-CB44-AD9A-13C7BEAC45D3}"/>
            </c:ext>
          </c:extLst>
        </c:ser>
        <c:dLbls>
          <c:showLegendKey val="0"/>
          <c:showVal val="0"/>
          <c:showCatName val="0"/>
          <c:showSerName val="0"/>
          <c:showPercent val="0"/>
          <c:showBubbleSize val="0"/>
        </c:dLbls>
        <c:smooth val="0"/>
        <c:axId val="1071805120"/>
        <c:axId val="252530735"/>
      </c:lineChart>
      <c:catAx>
        <c:axId val="107180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52530735"/>
        <c:crosses val="autoZero"/>
        <c:auto val="1"/>
        <c:lblAlgn val="ctr"/>
        <c:lblOffset val="100"/>
        <c:noMultiLvlLbl val="0"/>
      </c:catAx>
      <c:valAx>
        <c:axId val="2525307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071805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13726905468192743"/>
          <c:y val="0.17289623575755042"/>
          <c:w val="0.81955535516491185"/>
          <c:h val="0.71896428825741643"/>
        </c:manualLayout>
      </c:layout>
      <c:lineChart>
        <c:grouping val="standard"/>
        <c:varyColors val="0"/>
        <c:ser>
          <c:idx val="0"/>
          <c:order val="0"/>
          <c:tx>
            <c:strRef>
              <c:f>Int_Mkt_Sh!$Q$18</c:f>
              <c:strCache>
                <c:ptCount val="1"/>
              </c:strCache>
            </c:strRef>
          </c:tx>
          <c:spPr>
            <a:ln w="28575" cap="rnd">
              <a:solidFill>
                <a:schemeClr val="accent1"/>
              </a:solidFill>
              <a:round/>
            </a:ln>
            <a:effectLst/>
          </c:spPr>
          <c:marker>
            <c:symbol val="none"/>
          </c:marker>
          <c:cat>
            <c:numRef>
              <c:f>Int_Mkt_Sh!$S$2:$AB$2</c:f>
              <c:numCache>
                <c:formatCode>General</c:formatCode>
                <c:ptCount val="10"/>
                <c:pt idx="0">
                  <c:v>2018</c:v>
                </c:pt>
                <c:pt idx="1">
                  <c:v>2019</c:v>
                </c:pt>
                <c:pt idx="2">
                  <c:v>2020</c:v>
                </c:pt>
                <c:pt idx="3">
                  <c:v>2021</c:v>
                </c:pt>
                <c:pt idx="4">
                  <c:v>2022</c:v>
                </c:pt>
                <c:pt idx="5">
                  <c:v>2023</c:v>
                </c:pt>
                <c:pt idx="6">
                  <c:v>2024</c:v>
                </c:pt>
                <c:pt idx="7">
                  <c:v>2025</c:v>
                </c:pt>
                <c:pt idx="8">
                  <c:v>2026</c:v>
                </c:pt>
                <c:pt idx="9">
                  <c:v>2027</c:v>
                </c:pt>
              </c:numCache>
            </c:numRef>
          </c:cat>
          <c:val>
            <c:numRef>
              <c:f>Int_Mkt_Sh!$S$19:$AB$19</c:f>
              <c:numCache>
                <c:formatCode>#,##0</c:formatCode>
                <c:ptCount val="10"/>
                <c:pt idx="0">
                  <c:v>18590118</c:v>
                </c:pt>
                <c:pt idx="1">
                  <c:v>18481071</c:v>
                </c:pt>
                <c:pt idx="2">
                  <c:v>4695683</c:v>
                </c:pt>
                <c:pt idx="3">
                  <c:v>3327268</c:v>
                </c:pt>
                <c:pt idx="4">
                  <c:v>4623378.3809846593</c:v>
                </c:pt>
                <c:pt idx="5">
                  <c:v>11918249.067152288</c:v>
                </c:pt>
                <c:pt idx="6">
                  <c:v>17623002.211579014</c:v>
                </c:pt>
                <c:pt idx="7">
                  <c:v>18920578.547308117</c:v>
                </c:pt>
                <c:pt idx="8">
                  <c:v>20313695.037139785</c:v>
                </c:pt>
                <c:pt idx="9">
                  <c:v>21809386.273794774</c:v>
                </c:pt>
              </c:numCache>
            </c:numRef>
          </c:val>
          <c:smooth val="0"/>
          <c:extLst>
            <c:ext xmlns:c16="http://schemas.microsoft.com/office/drawing/2014/chart" uri="{C3380CC4-5D6E-409C-BE32-E72D297353CC}">
              <c16:uniqueId val="{00000000-3830-C944-B1F3-27A8F90FDC66}"/>
            </c:ext>
          </c:extLst>
        </c:ser>
        <c:dLbls>
          <c:showLegendKey val="0"/>
          <c:showVal val="0"/>
          <c:showCatName val="0"/>
          <c:showSerName val="0"/>
          <c:showPercent val="0"/>
          <c:showBubbleSize val="0"/>
        </c:dLbls>
        <c:smooth val="0"/>
        <c:axId val="223974671"/>
        <c:axId val="223405887"/>
      </c:lineChart>
      <c:catAx>
        <c:axId val="22397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23405887"/>
        <c:crosses val="autoZero"/>
        <c:auto val="1"/>
        <c:lblAlgn val="ctr"/>
        <c:lblOffset val="100"/>
        <c:noMultiLvlLbl val="0"/>
      </c:catAx>
      <c:valAx>
        <c:axId val="2234058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23974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Futures</a:t>
            </a:r>
            <a:r>
              <a:rPr lang="it-IT" baseline="0"/>
              <a:t> curve</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spPr>
            <a:ln w="28575" cap="rnd">
              <a:solidFill>
                <a:schemeClr val="accent1"/>
              </a:solidFill>
              <a:round/>
            </a:ln>
            <a:effectLst/>
          </c:spPr>
          <c:marker>
            <c:symbol val="none"/>
          </c:marker>
          <c:cat>
            <c:strRef>
              <c:f>Futures_provvisorio!$A$3:$A$62</c:f>
              <c:strCache>
                <c:ptCount val="60"/>
                <c:pt idx="0">
                  <c:v>Dec 22 </c:v>
                </c:pt>
                <c:pt idx="1">
                  <c:v>Jan 23 </c:v>
                </c:pt>
                <c:pt idx="2">
                  <c:v>Feb 23 </c:v>
                </c:pt>
                <c:pt idx="3">
                  <c:v>Mar 23 </c:v>
                </c:pt>
                <c:pt idx="4">
                  <c:v>Apr 23 </c:v>
                </c:pt>
                <c:pt idx="5">
                  <c:v>May 23 </c:v>
                </c:pt>
                <c:pt idx="6">
                  <c:v>Jun 23 </c:v>
                </c:pt>
                <c:pt idx="7">
                  <c:v>Jul 23 </c:v>
                </c:pt>
                <c:pt idx="8">
                  <c:v>Aug 23 </c:v>
                </c:pt>
                <c:pt idx="9">
                  <c:v>Sep 23 </c:v>
                </c:pt>
                <c:pt idx="10">
                  <c:v>Oct 23 </c:v>
                </c:pt>
                <c:pt idx="11">
                  <c:v>Nov 23 </c:v>
                </c:pt>
                <c:pt idx="12">
                  <c:v>Dec 23 </c:v>
                </c:pt>
                <c:pt idx="13">
                  <c:v>Jan 24 </c:v>
                </c:pt>
                <c:pt idx="14">
                  <c:v>Feb 24 </c:v>
                </c:pt>
                <c:pt idx="15">
                  <c:v>Mar 24 </c:v>
                </c:pt>
                <c:pt idx="16">
                  <c:v>Apr 24 </c:v>
                </c:pt>
                <c:pt idx="17">
                  <c:v>May 24 </c:v>
                </c:pt>
                <c:pt idx="18">
                  <c:v>Jun 24 </c:v>
                </c:pt>
                <c:pt idx="19">
                  <c:v>Jul 24 </c:v>
                </c:pt>
                <c:pt idx="20">
                  <c:v>Aug 24 </c:v>
                </c:pt>
                <c:pt idx="21">
                  <c:v>Sep 24 </c:v>
                </c:pt>
                <c:pt idx="22">
                  <c:v>Oct 24 </c:v>
                </c:pt>
                <c:pt idx="23">
                  <c:v>Nov 24 </c:v>
                </c:pt>
                <c:pt idx="24">
                  <c:v>Dec 24 </c:v>
                </c:pt>
                <c:pt idx="25">
                  <c:v>Jan 25 </c:v>
                </c:pt>
                <c:pt idx="26">
                  <c:v>Feb 25 </c:v>
                </c:pt>
                <c:pt idx="27">
                  <c:v>Mar 25 </c:v>
                </c:pt>
                <c:pt idx="28">
                  <c:v>Apr 25 </c:v>
                </c:pt>
                <c:pt idx="29">
                  <c:v>May 25 </c:v>
                </c:pt>
                <c:pt idx="30">
                  <c:v>Jun 25 </c:v>
                </c:pt>
                <c:pt idx="31">
                  <c:v>Jul 25 </c:v>
                </c:pt>
                <c:pt idx="32">
                  <c:v>Aug 25 </c:v>
                </c:pt>
                <c:pt idx="33">
                  <c:v>Sep 25 </c:v>
                </c:pt>
                <c:pt idx="34">
                  <c:v>Oct 25 </c:v>
                </c:pt>
                <c:pt idx="35">
                  <c:v>Nov 25 </c:v>
                </c:pt>
                <c:pt idx="36">
                  <c:v>Dec 25 </c:v>
                </c:pt>
                <c:pt idx="37">
                  <c:v>Jan 26 </c:v>
                </c:pt>
                <c:pt idx="38">
                  <c:v>Feb 26 </c:v>
                </c:pt>
                <c:pt idx="39">
                  <c:v>Mar 26 </c:v>
                </c:pt>
                <c:pt idx="40">
                  <c:v>Apr 26 </c:v>
                </c:pt>
                <c:pt idx="41">
                  <c:v>May 26 </c:v>
                </c:pt>
                <c:pt idx="42">
                  <c:v>Jun 26 </c:v>
                </c:pt>
                <c:pt idx="43">
                  <c:v>Jul 26 </c:v>
                </c:pt>
                <c:pt idx="44">
                  <c:v>Aug 26 </c:v>
                </c:pt>
                <c:pt idx="45">
                  <c:v>Sep 26 </c:v>
                </c:pt>
                <c:pt idx="46">
                  <c:v>Oct 26 </c:v>
                </c:pt>
                <c:pt idx="47">
                  <c:v>Nov 26 </c:v>
                </c:pt>
                <c:pt idx="48">
                  <c:v>Dec 26 </c:v>
                </c:pt>
                <c:pt idx="49">
                  <c:v>Jan 27 </c:v>
                </c:pt>
                <c:pt idx="50">
                  <c:v>Feb 27 </c:v>
                </c:pt>
                <c:pt idx="51">
                  <c:v>Mar 27 </c:v>
                </c:pt>
                <c:pt idx="52">
                  <c:v>Apr 27 </c:v>
                </c:pt>
                <c:pt idx="53">
                  <c:v>May 27 </c:v>
                </c:pt>
                <c:pt idx="54">
                  <c:v>Jun 27 </c:v>
                </c:pt>
                <c:pt idx="55">
                  <c:v>Jul 27 </c:v>
                </c:pt>
                <c:pt idx="56">
                  <c:v>Aug 27 </c:v>
                </c:pt>
                <c:pt idx="57">
                  <c:v>Sep 27 </c:v>
                </c:pt>
                <c:pt idx="58">
                  <c:v>Oct 27 </c:v>
                </c:pt>
                <c:pt idx="59">
                  <c:v>Nov 27 </c:v>
                </c:pt>
              </c:strCache>
            </c:strRef>
          </c:cat>
          <c:val>
            <c:numRef>
              <c:f>Futures_provvisorio!$B$3:$B$62</c:f>
              <c:numCache>
                <c:formatCode>0.0000</c:formatCode>
                <c:ptCount val="60"/>
                <c:pt idx="0">
                  <c:v>0.1867</c:v>
                </c:pt>
                <c:pt idx="1">
                  <c:v>0.18525</c:v>
                </c:pt>
                <c:pt idx="2">
                  <c:v>0.185</c:v>
                </c:pt>
                <c:pt idx="3">
                  <c:v>0.18390000000000001</c:v>
                </c:pt>
                <c:pt idx="4">
                  <c:v>0.18295</c:v>
                </c:pt>
                <c:pt idx="5">
                  <c:v>0.18204999999999999</c:v>
                </c:pt>
                <c:pt idx="6">
                  <c:v>0.18099999999999999</c:v>
                </c:pt>
                <c:pt idx="7">
                  <c:v>0.17995</c:v>
                </c:pt>
                <c:pt idx="8">
                  <c:v>0.1789</c:v>
                </c:pt>
                <c:pt idx="9">
                  <c:v>0.17785000000000001</c:v>
                </c:pt>
                <c:pt idx="10">
                  <c:v>0.1769</c:v>
                </c:pt>
                <c:pt idx="11">
                  <c:v>0.1759</c:v>
                </c:pt>
                <c:pt idx="12">
                  <c:v>0.17494999999999999</c:v>
                </c:pt>
                <c:pt idx="13">
                  <c:v>0.17405000000000001</c:v>
                </c:pt>
                <c:pt idx="14">
                  <c:v>0.17305000000000001</c:v>
                </c:pt>
                <c:pt idx="15">
                  <c:v>0.17215</c:v>
                </c:pt>
                <c:pt idx="16">
                  <c:v>0.17130000000000001</c:v>
                </c:pt>
                <c:pt idx="17">
                  <c:v>0.17030000000000001</c:v>
                </c:pt>
                <c:pt idx="18">
                  <c:v>0.1694</c:v>
                </c:pt>
                <c:pt idx="19">
                  <c:v>0.1686</c:v>
                </c:pt>
                <c:pt idx="20">
                  <c:v>0.16764999999999999</c:v>
                </c:pt>
                <c:pt idx="21">
                  <c:v>0.16675000000000001</c:v>
                </c:pt>
                <c:pt idx="22">
                  <c:v>0.16589999999999999</c:v>
                </c:pt>
                <c:pt idx="23">
                  <c:v>0.16500000000000001</c:v>
                </c:pt>
                <c:pt idx="24">
                  <c:v>0.16420000000000001</c:v>
                </c:pt>
                <c:pt idx="25">
                  <c:v>0.16335</c:v>
                </c:pt>
                <c:pt idx="26">
                  <c:v>0.16250000000000001</c:v>
                </c:pt>
                <c:pt idx="27">
                  <c:v>0.16175</c:v>
                </c:pt>
                <c:pt idx="28">
                  <c:v>0.16089999999999999</c:v>
                </c:pt>
                <c:pt idx="29">
                  <c:v>0.16009999999999999</c:v>
                </c:pt>
                <c:pt idx="30">
                  <c:v>0.15934999999999999</c:v>
                </c:pt>
                <c:pt idx="31">
                  <c:v>0.15855</c:v>
                </c:pt>
                <c:pt idx="32">
                  <c:v>0.15775</c:v>
                </c:pt>
                <c:pt idx="33">
                  <c:v>0.157</c:v>
                </c:pt>
                <c:pt idx="34">
                  <c:v>0.15620000000000001</c:v>
                </c:pt>
                <c:pt idx="35">
                  <c:v>0.15545</c:v>
                </c:pt>
                <c:pt idx="36">
                  <c:v>0.15475</c:v>
                </c:pt>
                <c:pt idx="37">
                  <c:v>0.15395</c:v>
                </c:pt>
                <c:pt idx="38">
                  <c:v>0.1532</c:v>
                </c:pt>
                <c:pt idx="39">
                  <c:v>0.15254999999999999</c:v>
                </c:pt>
                <c:pt idx="40">
                  <c:v>0.15179999999999999</c:v>
                </c:pt>
                <c:pt idx="41">
                  <c:v>0.15110000000000001</c:v>
                </c:pt>
                <c:pt idx="42">
                  <c:v>0.15040000000000001</c:v>
                </c:pt>
                <c:pt idx="43">
                  <c:v>0.14965000000000001</c:v>
                </c:pt>
                <c:pt idx="44">
                  <c:v>0.14895</c:v>
                </c:pt>
                <c:pt idx="45">
                  <c:v>0.14824999999999999</c:v>
                </c:pt>
                <c:pt idx="46">
                  <c:v>0.14760000000000001</c:v>
                </c:pt>
                <c:pt idx="47">
                  <c:v>0.1469</c:v>
                </c:pt>
                <c:pt idx="48">
                  <c:v>0.14624999999999999</c:v>
                </c:pt>
                <c:pt idx="49">
                  <c:v>0.14555000000000001</c:v>
                </c:pt>
                <c:pt idx="50">
                  <c:v>0.14495</c:v>
                </c:pt>
                <c:pt idx="51">
                  <c:v>0.14435000000000001</c:v>
                </c:pt>
                <c:pt idx="52">
                  <c:v>0.14365</c:v>
                </c:pt>
                <c:pt idx="53">
                  <c:v>0.14299999999999999</c:v>
                </c:pt>
                <c:pt idx="54">
                  <c:v>0.1424</c:v>
                </c:pt>
                <c:pt idx="55">
                  <c:v>0.14174999999999999</c:v>
                </c:pt>
                <c:pt idx="56">
                  <c:v>0.1411</c:v>
                </c:pt>
                <c:pt idx="57">
                  <c:v>0.14044999999999999</c:v>
                </c:pt>
                <c:pt idx="58">
                  <c:v>0.13985</c:v>
                </c:pt>
                <c:pt idx="59">
                  <c:v>0.13930000000000001</c:v>
                </c:pt>
              </c:numCache>
            </c:numRef>
          </c:val>
          <c:smooth val="0"/>
          <c:extLst>
            <c:ext xmlns:c16="http://schemas.microsoft.com/office/drawing/2014/chart" uri="{C3380CC4-5D6E-409C-BE32-E72D297353CC}">
              <c16:uniqueId val="{00000000-A5D2-CF42-9FCA-12FB390120A2}"/>
            </c:ext>
          </c:extLst>
        </c:ser>
        <c:dLbls>
          <c:showLegendKey val="0"/>
          <c:showVal val="0"/>
          <c:showCatName val="0"/>
          <c:showSerName val="0"/>
          <c:showPercent val="0"/>
          <c:showBubbleSize val="0"/>
        </c:dLbls>
        <c:smooth val="0"/>
        <c:axId val="2085401376"/>
        <c:axId val="998822447"/>
      </c:lineChart>
      <c:catAx>
        <c:axId val="208540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998822447"/>
        <c:crosses val="autoZero"/>
        <c:auto val="1"/>
        <c:lblAlgn val="ctr"/>
        <c:lblOffset val="100"/>
        <c:noMultiLvlLbl val="0"/>
      </c:catAx>
      <c:valAx>
        <c:axId val="998822447"/>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085401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626741101806719"/>
          <c:y val="5.1935788479697827E-2"/>
          <c:w val="0.76179690501650255"/>
          <c:h val="0.78550324196875909"/>
        </c:manualLayout>
      </c:layout>
      <c:scatterChart>
        <c:scatterStyle val="lineMarker"/>
        <c:varyColors val="0"/>
        <c:ser>
          <c:idx val="0"/>
          <c:order val="0"/>
          <c:tx>
            <c:strRef>
              <c:f>Cargo!$B$42</c:f>
              <c:strCache>
                <c:ptCount val="1"/>
                <c:pt idx="0">
                  <c:v>Revenues per ATK</c:v>
                </c:pt>
              </c:strCache>
            </c:strRef>
          </c:tx>
          <c:spPr>
            <a:ln w="19050" cap="rnd">
              <a:noFill/>
              <a:round/>
            </a:ln>
            <a:effectLst/>
          </c:spPr>
          <c:marker>
            <c:symbol val="circle"/>
            <c:size val="5"/>
            <c:spPr>
              <a:solidFill>
                <a:schemeClr val="accent1"/>
              </a:solidFill>
              <a:ln w="9525">
                <a:solidFill>
                  <a:schemeClr val="accent1"/>
                </a:solidFill>
              </a:ln>
              <a:effectLst/>
            </c:spPr>
          </c:marker>
          <c:xVal>
            <c:numRef>
              <c:f>Cargo!$D$40:$AS$40</c:f>
              <c:numCache>
                <c:formatCode>0.0%</c:formatCode>
                <c:ptCount val="42"/>
                <c:pt idx="0">
                  <c:v>0.49569506458677293</c:v>
                </c:pt>
                <c:pt idx="1">
                  <c:v>0.50450713264922376</c:v>
                </c:pt>
                <c:pt idx="2">
                  <c:v>0.48602851804911062</c:v>
                </c:pt>
                <c:pt idx="3">
                  <c:v>0.49690386151276056</c:v>
                </c:pt>
                <c:pt idx="4">
                  <c:v>0.45878037863920562</c:v>
                </c:pt>
                <c:pt idx="5">
                  <c:v>0.50264219546069688</c:v>
                </c:pt>
                <c:pt idx="6">
                  <c:v>0.47860487589156153</c:v>
                </c:pt>
                <c:pt idx="7">
                  <c:v>0.49881145716594188</c:v>
                </c:pt>
                <c:pt idx="8">
                  <c:v>0.46014635000700777</c:v>
                </c:pt>
                <c:pt idx="9">
                  <c:v>0.46522111167543456</c:v>
                </c:pt>
                <c:pt idx="10">
                  <c:v>0.4493466869120043</c:v>
                </c:pt>
                <c:pt idx="11">
                  <c:v>0.47563582203725985</c:v>
                </c:pt>
                <c:pt idx="12">
                  <c:v>0.43317334391110762</c:v>
                </c:pt>
                <c:pt idx="13">
                  <c:v>0.44771466230984491</c:v>
                </c:pt>
                <c:pt idx="14">
                  <c:v>0.4051172455688814</c:v>
                </c:pt>
                <c:pt idx="15">
                  <c:v>0.40549131425997553</c:v>
                </c:pt>
                <c:pt idx="16">
                  <c:v>0.37950866265193661</c:v>
                </c:pt>
                <c:pt idx="17">
                  <c:v>0.3869317552039514</c:v>
                </c:pt>
                <c:pt idx="18">
                  <c:v>0.35437393516097337</c:v>
                </c:pt>
                <c:pt idx="19">
                  <c:v>0.37592730449140399</c:v>
                </c:pt>
                <c:pt idx="20">
                  <c:v>0.27396488404311403</c:v>
                </c:pt>
                <c:pt idx="21">
                  <c:v>0.30016809990081827</c:v>
                </c:pt>
                <c:pt idx="22">
                  <c:v>0.28784850179195554</c:v>
                </c:pt>
                <c:pt idx="23">
                  <c:v>0.32465858413744375</c:v>
                </c:pt>
                <c:pt idx="24">
                  <c:v>0.29136367185721912</c:v>
                </c:pt>
                <c:pt idx="25">
                  <c:v>0.32017548880498026</c:v>
                </c:pt>
                <c:pt idx="26">
                  <c:v>0.26330962488742637</c:v>
                </c:pt>
                <c:pt idx="27">
                  <c:v>0.28859405473372268</c:v>
                </c:pt>
                <c:pt idx="28">
                  <c:v>0.24980828121122323</c:v>
                </c:pt>
                <c:pt idx="29">
                  <c:v>0.2825406626950514</c:v>
                </c:pt>
                <c:pt idx="30">
                  <c:v>0.29208512447458068</c:v>
                </c:pt>
                <c:pt idx="31">
                  <c:v>0.33610664557488523</c:v>
                </c:pt>
                <c:pt idx="32">
                  <c:v>0.38592375752726504</c:v>
                </c:pt>
                <c:pt idx="33">
                  <c:v>0.94525328581967194</c:v>
                </c:pt>
                <c:pt idx="34">
                  <c:v>0.92123978605177648</c:v>
                </c:pt>
                <c:pt idx="35">
                  <c:v>0.84434654439424361</c:v>
                </c:pt>
                <c:pt idx="36">
                  <c:v>0.7915286820664279</c:v>
                </c:pt>
                <c:pt idx="37">
                  <c:v>0.85440140065324699</c:v>
                </c:pt>
                <c:pt idx="38">
                  <c:v>0.73552304194363649</c:v>
                </c:pt>
                <c:pt idx="39">
                  <c:v>0.6680944818959178</c:v>
                </c:pt>
                <c:pt idx="40">
                  <c:v>0.59095005070245388</c:v>
                </c:pt>
                <c:pt idx="41">
                  <c:v>0.59053941006989841</c:v>
                </c:pt>
              </c:numCache>
            </c:numRef>
          </c:xVal>
          <c:yVal>
            <c:numRef>
              <c:f>Cargo!$D$42:$AS$42</c:f>
              <c:numCache>
                <c:formatCode>#,##0.00</c:formatCode>
                <c:ptCount val="42"/>
                <c:pt idx="0">
                  <c:v>25.230705263950956</c:v>
                </c:pt>
                <c:pt idx="1">
                  <c:v>25.881854263587691</c:v>
                </c:pt>
                <c:pt idx="2">
                  <c:v>24.051199876374174</c:v>
                </c:pt>
                <c:pt idx="3">
                  <c:v>26.233621336779954</c:v>
                </c:pt>
                <c:pt idx="4">
                  <c:v>23.524423970153478</c:v>
                </c:pt>
                <c:pt idx="5">
                  <c:v>25.513006532531673</c:v>
                </c:pt>
                <c:pt idx="6">
                  <c:v>23.407699782298327</c:v>
                </c:pt>
                <c:pt idx="7">
                  <c:v>24.937028152372452</c:v>
                </c:pt>
                <c:pt idx="8">
                  <c:v>23.020557614414461</c:v>
                </c:pt>
                <c:pt idx="9">
                  <c:v>24.101882853845702</c:v>
                </c:pt>
                <c:pt idx="10">
                  <c:v>23.138934384775034</c:v>
                </c:pt>
                <c:pt idx="11">
                  <c:v>24.648252231684843</c:v>
                </c:pt>
                <c:pt idx="12">
                  <c:v>19.820705990674846</c:v>
                </c:pt>
                <c:pt idx="13">
                  <c:v>19.222522792254178</c:v>
                </c:pt>
                <c:pt idx="14">
                  <c:v>17.549005264726095</c:v>
                </c:pt>
                <c:pt idx="15">
                  <c:v>18.499674662323212</c:v>
                </c:pt>
                <c:pt idx="16">
                  <c:v>16.166468371831872</c:v>
                </c:pt>
                <c:pt idx="17">
                  <c:v>15.920580580570462</c:v>
                </c:pt>
                <c:pt idx="18">
                  <c:v>15.920580582153949</c:v>
                </c:pt>
                <c:pt idx="19">
                  <c:v>18.150307421689838</c:v>
                </c:pt>
                <c:pt idx="20">
                  <c:v>16.55667445055311</c:v>
                </c:pt>
                <c:pt idx="21">
                  <c:v>17.29932288454005</c:v>
                </c:pt>
                <c:pt idx="22">
                  <c:v>17.297965319923737</c:v>
                </c:pt>
                <c:pt idx="23">
                  <c:v>20.529857711538433</c:v>
                </c:pt>
                <c:pt idx="24">
                  <c:v>18.375178095360464</c:v>
                </c:pt>
                <c:pt idx="25">
                  <c:v>18.805830630394503</c:v>
                </c:pt>
                <c:pt idx="26">
                  <c:v>17.05713100660817</c:v>
                </c:pt>
                <c:pt idx="27">
                  <c:v>18.809190752304367</c:v>
                </c:pt>
                <c:pt idx="28">
                  <c:v>16.43111205081599</c:v>
                </c:pt>
                <c:pt idx="29">
                  <c:v>17.699345867976241</c:v>
                </c:pt>
                <c:pt idx="30">
                  <c:v>15.811803785903436</c:v>
                </c:pt>
                <c:pt idx="31">
                  <c:v>17.07302139708802</c:v>
                </c:pt>
                <c:pt idx="32">
                  <c:v>15.905816099071634</c:v>
                </c:pt>
                <c:pt idx="33">
                  <c:v>34.690556351392544</c:v>
                </c:pt>
                <c:pt idx="34">
                  <c:v>29.642897939659793</c:v>
                </c:pt>
                <c:pt idx="35">
                  <c:v>28.504514452558801</c:v>
                </c:pt>
                <c:pt idx="36">
                  <c:v>30.842814336285478</c:v>
                </c:pt>
                <c:pt idx="37">
                  <c:v>33.778686312383499</c:v>
                </c:pt>
                <c:pt idx="38">
                  <c:v>30.670793856045368</c:v>
                </c:pt>
                <c:pt idx="39">
                  <c:v>33.331905807453346</c:v>
                </c:pt>
                <c:pt idx="40">
                  <c:v>30.12178608529333</c:v>
                </c:pt>
                <c:pt idx="41">
                  <c:v>31.716263813215363</c:v>
                </c:pt>
              </c:numCache>
            </c:numRef>
          </c:yVal>
          <c:smooth val="0"/>
          <c:extLst>
            <c:ext xmlns:c16="http://schemas.microsoft.com/office/drawing/2014/chart" uri="{C3380CC4-5D6E-409C-BE32-E72D297353CC}">
              <c16:uniqueId val="{00000000-5104-4D94-A658-780001B9BB5E}"/>
            </c:ext>
          </c:extLst>
        </c:ser>
        <c:dLbls>
          <c:showLegendKey val="0"/>
          <c:showVal val="0"/>
          <c:showCatName val="0"/>
          <c:showSerName val="0"/>
          <c:showPercent val="0"/>
          <c:showBubbleSize val="0"/>
        </c:dLbls>
        <c:axId val="738816176"/>
        <c:axId val="738826992"/>
      </c:scatterChart>
      <c:valAx>
        <c:axId val="738816176"/>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t>ATK from dedicated cargo planes %</a:t>
                </a:r>
              </a:p>
            </c:rich>
          </c:tx>
          <c:layout>
            <c:manualLayout>
              <c:xMode val="edge"/>
              <c:yMode val="edge"/>
              <c:x val="0.33840631032232082"/>
              <c:y val="0.9139607279693486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0.0%" sourceLinked="1"/>
        <c:majorTickMark val="out"/>
        <c:minorTickMark val="in"/>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738826992"/>
        <c:crosses val="autoZero"/>
        <c:crossBetween val="midCat"/>
        <c:majorUnit val="0.2"/>
        <c:minorUnit val="5.000000000000001E-2"/>
      </c:valAx>
      <c:valAx>
        <c:axId val="738826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t>Revenues per ATK (US$ cents)</a:t>
                </a:r>
              </a:p>
            </c:rich>
          </c:tx>
          <c:layout>
            <c:manualLayout>
              <c:xMode val="edge"/>
              <c:yMode val="edge"/>
              <c:x val="2.6455026455026454E-2"/>
              <c:y val="0.1502282646680496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7388161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Cargo!$B$42</c:f>
              <c:strCache>
                <c:ptCount val="1"/>
                <c:pt idx="0">
                  <c:v>Revenues per ATK</c:v>
                </c:pt>
              </c:strCache>
            </c:strRef>
          </c:tx>
          <c:spPr>
            <a:ln w="19050" cap="rnd">
              <a:solidFill>
                <a:schemeClr val="accent1"/>
              </a:solidFill>
              <a:round/>
            </a:ln>
            <a:effectLst/>
          </c:spPr>
          <c:marker>
            <c:symbol val="none"/>
          </c:marker>
          <c:cat>
            <c:strRef>
              <c:f>Cargo!$D$25:$AS$25</c:f>
              <c:strCache>
                <c:ptCount val="42"/>
                <c:pt idx="0">
                  <c:v>1Q12</c:v>
                </c:pt>
                <c:pt idx="1">
                  <c:v>2Q12</c:v>
                </c:pt>
                <c:pt idx="2">
                  <c:v>3Q12</c:v>
                </c:pt>
                <c:pt idx="3">
                  <c:v>4Q12</c:v>
                </c:pt>
                <c:pt idx="4">
                  <c:v>1Q13</c:v>
                </c:pt>
                <c:pt idx="5">
                  <c:v>2Q13</c:v>
                </c:pt>
                <c:pt idx="6">
                  <c:v>3Q13</c:v>
                </c:pt>
                <c:pt idx="7">
                  <c:v>4Q13</c:v>
                </c:pt>
                <c:pt idx="8">
                  <c:v>1Q14</c:v>
                </c:pt>
                <c:pt idx="9">
                  <c:v>2Q14</c:v>
                </c:pt>
                <c:pt idx="10">
                  <c:v>3Q14</c:v>
                </c:pt>
                <c:pt idx="11">
                  <c:v>4Q14</c:v>
                </c:pt>
                <c:pt idx="12">
                  <c:v>1Q15</c:v>
                </c:pt>
                <c:pt idx="13">
                  <c:v>2Q15</c:v>
                </c:pt>
                <c:pt idx="14">
                  <c:v>3Q15</c:v>
                </c:pt>
                <c:pt idx="15">
                  <c:v>4Q15</c:v>
                </c:pt>
                <c:pt idx="16">
                  <c:v>1Q16</c:v>
                </c:pt>
                <c:pt idx="17">
                  <c:v>2Q16</c:v>
                </c:pt>
                <c:pt idx="18">
                  <c:v>3Q16</c:v>
                </c:pt>
                <c:pt idx="19">
                  <c:v>4Q16</c:v>
                </c:pt>
                <c:pt idx="20">
                  <c:v>1Q17</c:v>
                </c:pt>
                <c:pt idx="21">
                  <c:v>2Q17</c:v>
                </c:pt>
                <c:pt idx="22">
                  <c:v>3Q17</c:v>
                </c:pt>
                <c:pt idx="23">
                  <c:v>4Q17</c:v>
                </c:pt>
                <c:pt idx="24">
                  <c:v>1Q18</c:v>
                </c:pt>
                <c:pt idx="25">
                  <c:v>2Q18</c:v>
                </c:pt>
                <c:pt idx="26">
                  <c:v>3Q18</c:v>
                </c:pt>
                <c:pt idx="27">
                  <c:v>4Q18</c:v>
                </c:pt>
                <c:pt idx="28">
                  <c:v>1Q19</c:v>
                </c:pt>
                <c:pt idx="29">
                  <c:v>2Q19</c:v>
                </c:pt>
                <c:pt idx="30">
                  <c:v>3Q19</c:v>
                </c:pt>
                <c:pt idx="31">
                  <c:v>4Q19</c:v>
                </c:pt>
                <c:pt idx="32">
                  <c:v>1Q20</c:v>
                </c:pt>
                <c:pt idx="33">
                  <c:v>2Q20</c:v>
                </c:pt>
                <c:pt idx="34">
                  <c:v>3Q20</c:v>
                </c:pt>
                <c:pt idx="35">
                  <c:v>4Q20</c:v>
                </c:pt>
                <c:pt idx="36">
                  <c:v>1Q21</c:v>
                </c:pt>
                <c:pt idx="37">
                  <c:v>2Q21</c:v>
                </c:pt>
                <c:pt idx="38">
                  <c:v>3Q21</c:v>
                </c:pt>
                <c:pt idx="39">
                  <c:v>4Q21</c:v>
                </c:pt>
                <c:pt idx="40">
                  <c:v>1Q22</c:v>
                </c:pt>
                <c:pt idx="41">
                  <c:v>2Q22</c:v>
                </c:pt>
              </c:strCache>
            </c:strRef>
          </c:cat>
          <c:val>
            <c:numRef>
              <c:f>Cargo!$D$42:$AS$42</c:f>
              <c:numCache>
                <c:formatCode>#,##0.00</c:formatCode>
                <c:ptCount val="42"/>
                <c:pt idx="0">
                  <c:v>25.230705263950956</c:v>
                </c:pt>
                <c:pt idx="1">
                  <c:v>25.881854263587691</c:v>
                </c:pt>
                <c:pt idx="2">
                  <c:v>24.051199876374174</c:v>
                </c:pt>
                <c:pt idx="3">
                  <c:v>26.233621336779954</c:v>
                </c:pt>
                <c:pt idx="4">
                  <c:v>23.524423970153478</c:v>
                </c:pt>
                <c:pt idx="5">
                  <c:v>25.513006532531673</c:v>
                </c:pt>
                <c:pt idx="6">
                  <c:v>23.407699782298327</c:v>
                </c:pt>
                <c:pt idx="7">
                  <c:v>24.937028152372452</c:v>
                </c:pt>
                <c:pt idx="8">
                  <c:v>23.020557614414461</c:v>
                </c:pt>
                <c:pt idx="9">
                  <c:v>24.101882853845702</c:v>
                </c:pt>
                <c:pt idx="10">
                  <c:v>23.138934384775034</c:v>
                </c:pt>
                <c:pt idx="11">
                  <c:v>24.648252231684843</c:v>
                </c:pt>
                <c:pt idx="12">
                  <c:v>19.820705990674846</c:v>
                </c:pt>
                <c:pt idx="13">
                  <c:v>19.222522792254178</c:v>
                </c:pt>
                <c:pt idx="14">
                  <c:v>17.549005264726095</c:v>
                </c:pt>
                <c:pt idx="15">
                  <c:v>18.499674662323212</c:v>
                </c:pt>
                <c:pt idx="16">
                  <c:v>16.166468371831872</c:v>
                </c:pt>
                <c:pt idx="17">
                  <c:v>15.920580580570462</c:v>
                </c:pt>
                <c:pt idx="18">
                  <c:v>15.920580582153949</c:v>
                </c:pt>
                <c:pt idx="19">
                  <c:v>18.150307421689838</c:v>
                </c:pt>
                <c:pt idx="20">
                  <c:v>16.55667445055311</c:v>
                </c:pt>
                <c:pt idx="21">
                  <c:v>17.29932288454005</c:v>
                </c:pt>
                <c:pt idx="22">
                  <c:v>17.297965319923737</c:v>
                </c:pt>
                <c:pt idx="23">
                  <c:v>20.529857711538433</c:v>
                </c:pt>
                <c:pt idx="24">
                  <c:v>18.375178095360464</c:v>
                </c:pt>
                <c:pt idx="25">
                  <c:v>18.805830630394503</c:v>
                </c:pt>
                <c:pt idx="26">
                  <c:v>17.05713100660817</c:v>
                </c:pt>
                <c:pt idx="27">
                  <c:v>18.809190752304367</c:v>
                </c:pt>
                <c:pt idx="28">
                  <c:v>16.43111205081599</c:v>
                </c:pt>
                <c:pt idx="29">
                  <c:v>17.699345867976241</c:v>
                </c:pt>
                <c:pt idx="30">
                  <c:v>15.811803785903436</c:v>
                </c:pt>
                <c:pt idx="31">
                  <c:v>17.07302139708802</c:v>
                </c:pt>
                <c:pt idx="32">
                  <c:v>15.905816099071634</c:v>
                </c:pt>
                <c:pt idx="33">
                  <c:v>34.690556351392544</c:v>
                </c:pt>
                <c:pt idx="34">
                  <c:v>29.642897939659793</c:v>
                </c:pt>
                <c:pt idx="35">
                  <c:v>28.504514452558801</c:v>
                </c:pt>
                <c:pt idx="36">
                  <c:v>30.842814336285478</c:v>
                </c:pt>
                <c:pt idx="37">
                  <c:v>33.778686312383499</c:v>
                </c:pt>
                <c:pt idx="38">
                  <c:v>30.670793856045368</c:v>
                </c:pt>
                <c:pt idx="39">
                  <c:v>33.331905807453346</c:v>
                </c:pt>
                <c:pt idx="40">
                  <c:v>30.12178608529333</c:v>
                </c:pt>
                <c:pt idx="41">
                  <c:v>31.716263813215363</c:v>
                </c:pt>
              </c:numCache>
            </c:numRef>
          </c:val>
          <c:smooth val="0"/>
          <c:extLst>
            <c:ext xmlns:c16="http://schemas.microsoft.com/office/drawing/2014/chart" uri="{C3380CC4-5D6E-409C-BE32-E72D297353CC}">
              <c16:uniqueId val="{00000000-7B94-48EE-A900-F6019077F2F2}"/>
            </c:ext>
          </c:extLst>
        </c:ser>
        <c:dLbls>
          <c:showLegendKey val="0"/>
          <c:showVal val="0"/>
          <c:showCatName val="0"/>
          <c:showSerName val="0"/>
          <c:showPercent val="0"/>
          <c:showBubbleSize val="0"/>
        </c:dLbls>
        <c:marker val="1"/>
        <c:smooth val="0"/>
        <c:axId val="738816176"/>
        <c:axId val="738826992"/>
      </c:lineChart>
      <c:lineChart>
        <c:grouping val="standard"/>
        <c:varyColors val="0"/>
        <c:ser>
          <c:idx val="1"/>
          <c:order val="1"/>
          <c:tx>
            <c:strRef>
              <c:f>Cargo!$B$40</c:f>
              <c:strCache>
                <c:ptCount val="1"/>
                <c:pt idx="0">
                  <c:v>ATK from dedicated cargo planes </c:v>
                </c:pt>
              </c:strCache>
            </c:strRef>
          </c:tx>
          <c:spPr>
            <a:ln w="19050" cap="rnd">
              <a:solidFill>
                <a:schemeClr val="accent2"/>
              </a:solidFill>
              <a:round/>
            </a:ln>
            <a:effectLst/>
          </c:spPr>
          <c:marker>
            <c:symbol val="none"/>
          </c:marker>
          <c:cat>
            <c:strRef>
              <c:f>Cargo!$D$25:$AS$25</c:f>
              <c:strCache>
                <c:ptCount val="42"/>
                <c:pt idx="0">
                  <c:v>1Q12</c:v>
                </c:pt>
                <c:pt idx="1">
                  <c:v>2Q12</c:v>
                </c:pt>
                <c:pt idx="2">
                  <c:v>3Q12</c:v>
                </c:pt>
                <c:pt idx="3">
                  <c:v>4Q12</c:v>
                </c:pt>
                <c:pt idx="4">
                  <c:v>1Q13</c:v>
                </c:pt>
                <c:pt idx="5">
                  <c:v>2Q13</c:v>
                </c:pt>
                <c:pt idx="6">
                  <c:v>3Q13</c:v>
                </c:pt>
                <c:pt idx="7">
                  <c:v>4Q13</c:v>
                </c:pt>
                <c:pt idx="8">
                  <c:v>1Q14</c:v>
                </c:pt>
                <c:pt idx="9">
                  <c:v>2Q14</c:v>
                </c:pt>
                <c:pt idx="10">
                  <c:v>3Q14</c:v>
                </c:pt>
                <c:pt idx="11">
                  <c:v>4Q14</c:v>
                </c:pt>
                <c:pt idx="12">
                  <c:v>1Q15</c:v>
                </c:pt>
                <c:pt idx="13">
                  <c:v>2Q15</c:v>
                </c:pt>
                <c:pt idx="14">
                  <c:v>3Q15</c:v>
                </c:pt>
                <c:pt idx="15">
                  <c:v>4Q15</c:v>
                </c:pt>
                <c:pt idx="16">
                  <c:v>1Q16</c:v>
                </c:pt>
                <c:pt idx="17">
                  <c:v>2Q16</c:v>
                </c:pt>
                <c:pt idx="18">
                  <c:v>3Q16</c:v>
                </c:pt>
                <c:pt idx="19">
                  <c:v>4Q16</c:v>
                </c:pt>
                <c:pt idx="20">
                  <c:v>1Q17</c:v>
                </c:pt>
                <c:pt idx="21">
                  <c:v>2Q17</c:v>
                </c:pt>
                <c:pt idx="22">
                  <c:v>3Q17</c:v>
                </c:pt>
                <c:pt idx="23">
                  <c:v>4Q17</c:v>
                </c:pt>
                <c:pt idx="24">
                  <c:v>1Q18</c:v>
                </c:pt>
                <c:pt idx="25">
                  <c:v>2Q18</c:v>
                </c:pt>
                <c:pt idx="26">
                  <c:v>3Q18</c:v>
                </c:pt>
                <c:pt idx="27">
                  <c:v>4Q18</c:v>
                </c:pt>
                <c:pt idx="28">
                  <c:v>1Q19</c:v>
                </c:pt>
                <c:pt idx="29">
                  <c:v>2Q19</c:v>
                </c:pt>
                <c:pt idx="30">
                  <c:v>3Q19</c:v>
                </c:pt>
                <c:pt idx="31">
                  <c:v>4Q19</c:v>
                </c:pt>
                <c:pt idx="32">
                  <c:v>1Q20</c:v>
                </c:pt>
                <c:pt idx="33">
                  <c:v>2Q20</c:v>
                </c:pt>
                <c:pt idx="34">
                  <c:v>3Q20</c:v>
                </c:pt>
                <c:pt idx="35">
                  <c:v>4Q20</c:v>
                </c:pt>
                <c:pt idx="36">
                  <c:v>1Q21</c:v>
                </c:pt>
                <c:pt idx="37">
                  <c:v>2Q21</c:v>
                </c:pt>
                <c:pt idx="38">
                  <c:v>3Q21</c:v>
                </c:pt>
                <c:pt idx="39">
                  <c:v>4Q21</c:v>
                </c:pt>
                <c:pt idx="40">
                  <c:v>1Q22</c:v>
                </c:pt>
                <c:pt idx="41">
                  <c:v>2Q22</c:v>
                </c:pt>
              </c:strCache>
            </c:strRef>
          </c:cat>
          <c:val>
            <c:numRef>
              <c:f>Cargo!$D$40:$AS$40</c:f>
              <c:numCache>
                <c:formatCode>0.0%</c:formatCode>
                <c:ptCount val="42"/>
                <c:pt idx="0">
                  <c:v>0.49569506458677293</c:v>
                </c:pt>
                <c:pt idx="1">
                  <c:v>0.50450713264922376</c:v>
                </c:pt>
                <c:pt idx="2">
                  <c:v>0.48602851804911062</c:v>
                </c:pt>
                <c:pt idx="3">
                  <c:v>0.49690386151276056</c:v>
                </c:pt>
                <c:pt idx="4">
                  <c:v>0.45878037863920562</c:v>
                </c:pt>
                <c:pt idx="5">
                  <c:v>0.50264219546069688</c:v>
                </c:pt>
                <c:pt idx="6">
                  <c:v>0.47860487589156153</c:v>
                </c:pt>
                <c:pt idx="7">
                  <c:v>0.49881145716594188</c:v>
                </c:pt>
                <c:pt idx="8">
                  <c:v>0.46014635000700777</c:v>
                </c:pt>
                <c:pt idx="9">
                  <c:v>0.46522111167543456</c:v>
                </c:pt>
                <c:pt idx="10">
                  <c:v>0.4493466869120043</c:v>
                </c:pt>
                <c:pt idx="11">
                  <c:v>0.47563582203725985</c:v>
                </c:pt>
                <c:pt idx="12">
                  <c:v>0.43317334391110762</c:v>
                </c:pt>
                <c:pt idx="13">
                  <c:v>0.44771466230984491</c:v>
                </c:pt>
                <c:pt idx="14">
                  <c:v>0.4051172455688814</c:v>
                </c:pt>
                <c:pt idx="15">
                  <c:v>0.40549131425997553</c:v>
                </c:pt>
                <c:pt idx="16">
                  <c:v>0.37950866265193661</c:v>
                </c:pt>
                <c:pt idx="17">
                  <c:v>0.3869317552039514</c:v>
                </c:pt>
                <c:pt idx="18">
                  <c:v>0.35437393516097337</c:v>
                </c:pt>
                <c:pt idx="19">
                  <c:v>0.37592730449140399</c:v>
                </c:pt>
                <c:pt idx="20">
                  <c:v>0.27396488404311403</c:v>
                </c:pt>
                <c:pt idx="21">
                  <c:v>0.30016809990081827</c:v>
                </c:pt>
                <c:pt idx="22">
                  <c:v>0.28784850179195554</c:v>
                </c:pt>
                <c:pt idx="23">
                  <c:v>0.32465858413744375</c:v>
                </c:pt>
                <c:pt idx="24">
                  <c:v>0.29136367185721912</c:v>
                </c:pt>
                <c:pt idx="25">
                  <c:v>0.32017548880498026</c:v>
                </c:pt>
                <c:pt idx="26">
                  <c:v>0.26330962488742637</c:v>
                </c:pt>
                <c:pt idx="27">
                  <c:v>0.28859405473372268</c:v>
                </c:pt>
                <c:pt idx="28">
                  <c:v>0.24980828121122323</c:v>
                </c:pt>
                <c:pt idx="29">
                  <c:v>0.2825406626950514</c:v>
                </c:pt>
                <c:pt idx="30">
                  <c:v>0.29208512447458068</c:v>
                </c:pt>
                <c:pt idx="31">
                  <c:v>0.33610664557488523</c:v>
                </c:pt>
                <c:pt idx="32">
                  <c:v>0.38592375752726504</c:v>
                </c:pt>
                <c:pt idx="33">
                  <c:v>0.94525328581967194</c:v>
                </c:pt>
                <c:pt idx="34">
                  <c:v>0.92123978605177648</c:v>
                </c:pt>
                <c:pt idx="35">
                  <c:v>0.84434654439424361</c:v>
                </c:pt>
                <c:pt idx="36">
                  <c:v>0.7915286820664279</c:v>
                </c:pt>
                <c:pt idx="37">
                  <c:v>0.85440140065324699</c:v>
                </c:pt>
                <c:pt idx="38">
                  <c:v>0.73552304194363649</c:v>
                </c:pt>
                <c:pt idx="39">
                  <c:v>0.6680944818959178</c:v>
                </c:pt>
                <c:pt idx="40">
                  <c:v>0.59095005070245388</c:v>
                </c:pt>
                <c:pt idx="41">
                  <c:v>0.59053941006989841</c:v>
                </c:pt>
              </c:numCache>
            </c:numRef>
          </c:val>
          <c:smooth val="0"/>
          <c:extLst>
            <c:ext xmlns:c16="http://schemas.microsoft.com/office/drawing/2014/chart" uri="{C3380CC4-5D6E-409C-BE32-E72D297353CC}">
              <c16:uniqueId val="{00000001-7B94-48EE-A900-F6019077F2F2}"/>
            </c:ext>
          </c:extLst>
        </c:ser>
        <c:dLbls>
          <c:showLegendKey val="0"/>
          <c:showVal val="0"/>
          <c:showCatName val="0"/>
          <c:showSerName val="0"/>
          <c:showPercent val="0"/>
          <c:showBubbleSize val="0"/>
        </c:dLbls>
        <c:marker val="1"/>
        <c:smooth val="0"/>
        <c:axId val="731796960"/>
        <c:axId val="731788640"/>
      </c:lineChart>
      <c:catAx>
        <c:axId val="738816176"/>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in"/>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738826992"/>
        <c:crosses val="autoZero"/>
        <c:auto val="1"/>
        <c:lblAlgn val="ctr"/>
        <c:lblOffset val="100"/>
        <c:tickLblSkip val="4"/>
        <c:tickMarkSkip val="4"/>
        <c:noMultiLvlLbl val="0"/>
      </c:catAx>
      <c:valAx>
        <c:axId val="738826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t>Revenues per ATK (US$ cents)</a:t>
                </a:r>
              </a:p>
            </c:rich>
          </c:tx>
          <c:layout>
            <c:manualLayout>
              <c:xMode val="edge"/>
              <c:yMode val="edge"/>
              <c:x val="2.2222222222222223E-2"/>
              <c:y val="0.210478273549139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738816176"/>
        <c:crosses val="autoZero"/>
        <c:crossBetween val="between"/>
      </c:valAx>
      <c:valAx>
        <c:axId val="73178864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t>ATK from dedicated cargo planes %</a:t>
                </a:r>
              </a:p>
            </c:rich>
          </c:tx>
          <c:layout>
            <c:manualLayout>
              <c:xMode val="edge"/>
              <c:yMode val="edge"/>
              <c:x val="0.94387489063867014"/>
              <c:y val="0.1717129629629629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731796960"/>
        <c:crosses val="max"/>
        <c:crossBetween val="between"/>
      </c:valAx>
      <c:catAx>
        <c:axId val="731796960"/>
        <c:scaling>
          <c:orientation val="minMax"/>
        </c:scaling>
        <c:delete val="1"/>
        <c:axPos val="b"/>
        <c:numFmt formatCode="General" sourceLinked="1"/>
        <c:majorTickMark val="out"/>
        <c:minorTickMark val="none"/>
        <c:tickLblPos val="nextTo"/>
        <c:crossAx val="73178864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233114610673666"/>
          <c:y val="5.0925925925925923E-2"/>
          <c:w val="0.77300918635170601"/>
          <c:h val="0.78054024496937879"/>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Cargo!$D$27:$AJ$27</c:f>
              <c:numCache>
                <c:formatCode>_-* #,##0_-;\-* #,##0_-;_-* "-"??_-;_-@_-</c:formatCode>
                <c:ptCount val="33"/>
                <c:pt idx="0">
                  <c:v>1885.0285595446069</c:v>
                </c:pt>
                <c:pt idx="1">
                  <c:v>1847.7965107501025</c:v>
                </c:pt>
                <c:pt idx="2">
                  <c:v>1862.7511404954494</c:v>
                </c:pt>
                <c:pt idx="3">
                  <c:v>2050.3688495567148</c:v>
                </c:pt>
                <c:pt idx="4">
                  <c:v>1957.0936171875001</c:v>
                </c:pt>
                <c:pt idx="5">
                  <c:v>1906.9763470629332</c:v>
                </c:pt>
                <c:pt idx="6">
                  <c:v>1864.1814619050751</c:v>
                </c:pt>
                <c:pt idx="7">
                  <c:v>1923.6293798479865</c:v>
                </c:pt>
                <c:pt idx="8">
                  <c:v>1827.5360964174497</c:v>
                </c:pt>
                <c:pt idx="9">
                  <c:v>1763.0738750860598</c:v>
                </c:pt>
                <c:pt idx="10">
                  <c:v>1774.00563558403</c:v>
                </c:pt>
                <c:pt idx="11">
                  <c:v>1855.0970498923059</c:v>
                </c:pt>
                <c:pt idx="12">
                  <c:v>1767.4547019910285</c:v>
                </c:pt>
                <c:pt idx="13">
                  <c:v>1739.8600777561123</c:v>
                </c:pt>
                <c:pt idx="14">
                  <c:v>1765.2339567227036</c:v>
                </c:pt>
                <c:pt idx="15">
                  <c:v>1810.2102124100002</c:v>
                </c:pt>
                <c:pt idx="16">
                  <c:v>1707.0333090240001</c:v>
                </c:pt>
                <c:pt idx="17">
                  <c:v>1633.1690837789999</c:v>
                </c:pt>
                <c:pt idx="18">
                  <c:v>1661.181768909832</c:v>
                </c:pt>
                <c:pt idx="19">
                  <c:v>1702.7480186405901</c:v>
                </c:pt>
                <c:pt idx="20">
                  <c:v>1532.5903807423299</c:v>
                </c:pt>
                <c:pt idx="21">
                  <c:v>1482.7805788239095</c:v>
                </c:pt>
                <c:pt idx="22">
                  <c:v>1573.3237693946301</c:v>
                </c:pt>
                <c:pt idx="23">
                  <c:v>1641.60903955308</c:v>
                </c:pt>
                <c:pt idx="24">
                  <c:v>1609.8891584331984</c:v>
                </c:pt>
                <c:pt idx="25">
                  <c:v>1593.67063274308</c:v>
                </c:pt>
                <c:pt idx="26">
                  <c:v>1634.9935982314771</c:v>
                </c:pt>
                <c:pt idx="27">
                  <c:v>1659.0931747649399</c:v>
                </c:pt>
                <c:pt idx="28">
                  <c:v>1603.6406981164396</c:v>
                </c:pt>
                <c:pt idx="29">
                  <c:v>1521.3048098414699</c:v>
                </c:pt>
                <c:pt idx="30">
                  <c:v>1591.7918246897798</c:v>
                </c:pt>
                <c:pt idx="31">
                  <c:v>1639.9323440650901</c:v>
                </c:pt>
                <c:pt idx="32">
                  <c:v>1586.7717722118705</c:v>
                </c:pt>
              </c:numCache>
            </c:numRef>
          </c:xVal>
          <c:yVal>
            <c:numRef>
              <c:f>Cargo!$D$40:$AJ$40</c:f>
              <c:numCache>
                <c:formatCode>0.0%</c:formatCode>
                <c:ptCount val="33"/>
                <c:pt idx="0">
                  <c:v>0.49569506458677293</c:v>
                </c:pt>
                <c:pt idx="1">
                  <c:v>0.50450713264922376</c:v>
                </c:pt>
                <c:pt idx="2">
                  <c:v>0.48602851804911062</c:v>
                </c:pt>
                <c:pt idx="3">
                  <c:v>0.49690386151276056</c:v>
                </c:pt>
                <c:pt idx="4">
                  <c:v>0.45878037863920562</c:v>
                </c:pt>
                <c:pt idx="5">
                  <c:v>0.50264219546069688</c:v>
                </c:pt>
                <c:pt idx="6">
                  <c:v>0.47860487589156153</c:v>
                </c:pt>
                <c:pt idx="7">
                  <c:v>0.49881145716594188</c:v>
                </c:pt>
                <c:pt idx="8">
                  <c:v>0.46014635000700777</c:v>
                </c:pt>
                <c:pt idx="9">
                  <c:v>0.46522111167543456</c:v>
                </c:pt>
                <c:pt idx="10">
                  <c:v>0.4493466869120043</c:v>
                </c:pt>
                <c:pt idx="11">
                  <c:v>0.47563582203725985</c:v>
                </c:pt>
                <c:pt idx="12">
                  <c:v>0.43317334391110762</c:v>
                </c:pt>
                <c:pt idx="13">
                  <c:v>0.44771466230984491</c:v>
                </c:pt>
                <c:pt idx="14">
                  <c:v>0.4051172455688814</c:v>
                </c:pt>
                <c:pt idx="15">
                  <c:v>0.40549131425997553</c:v>
                </c:pt>
                <c:pt idx="16">
                  <c:v>0.37950866265193661</c:v>
                </c:pt>
                <c:pt idx="17">
                  <c:v>0.3869317552039514</c:v>
                </c:pt>
                <c:pt idx="18">
                  <c:v>0.35437393516097337</c:v>
                </c:pt>
                <c:pt idx="19">
                  <c:v>0.37592730449140399</c:v>
                </c:pt>
                <c:pt idx="20">
                  <c:v>0.27396488404311403</c:v>
                </c:pt>
                <c:pt idx="21">
                  <c:v>0.30016809990081827</c:v>
                </c:pt>
                <c:pt idx="22">
                  <c:v>0.28784850179195554</c:v>
                </c:pt>
                <c:pt idx="23">
                  <c:v>0.32465858413744375</c:v>
                </c:pt>
                <c:pt idx="24">
                  <c:v>0.29136367185721912</c:v>
                </c:pt>
                <c:pt idx="25">
                  <c:v>0.32017548880498026</c:v>
                </c:pt>
                <c:pt idx="26">
                  <c:v>0.26330962488742637</c:v>
                </c:pt>
                <c:pt idx="27">
                  <c:v>0.28859405473372268</c:v>
                </c:pt>
                <c:pt idx="28">
                  <c:v>0.24980828121122323</c:v>
                </c:pt>
                <c:pt idx="29">
                  <c:v>0.2825406626950514</c:v>
                </c:pt>
                <c:pt idx="30">
                  <c:v>0.29208512447458068</c:v>
                </c:pt>
                <c:pt idx="31">
                  <c:v>0.33610664557488523</c:v>
                </c:pt>
                <c:pt idx="32">
                  <c:v>0.38592375752726504</c:v>
                </c:pt>
              </c:numCache>
            </c:numRef>
          </c:yVal>
          <c:smooth val="0"/>
          <c:extLst>
            <c:ext xmlns:c16="http://schemas.microsoft.com/office/drawing/2014/chart" uri="{C3380CC4-5D6E-409C-BE32-E72D297353CC}">
              <c16:uniqueId val="{00000000-6E95-4E50-9453-FB043E1E53FC}"/>
            </c:ext>
          </c:extLst>
        </c:ser>
        <c:dLbls>
          <c:showLegendKey val="0"/>
          <c:showVal val="0"/>
          <c:showCatName val="0"/>
          <c:showSerName val="0"/>
          <c:showPercent val="0"/>
          <c:showBubbleSize val="0"/>
        </c:dLbls>
        <c:axId val="1519525408"/>
        <c:axId val="1519505440"/>
      </c:scatterChart>
      <c:valAx>
        <c:axId val="1519525408"/>
        <c:scaling>
          <c:orientation val="minMax"/>
          <c:max val="2200"/>
          <c:min val="12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t>Total ATK</a:t>
                </a:r>
              </a:p>
            </c:rich>
          </c:tx>
          <c:layout>
            <c:manualLayout>
              <c:xMode val="edge"/>
              <c:yMode val="edge"/>
              <c:x val="0.44508573928258971"/>
              <c:y val="0.911087780694079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519505440"/>
        <c:crosses val="autoZero"/>
        <c:crossBetween val="midCat"/>
      </c:valAx>
      <c:valAx>
        <c:axId val="1519505440"/>
        <c:scaling>
          <c:orientation val="minMax"/>
          <c:min val="0.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t>ATK from dedicated cargo planes %</a:t>
                </a:r>
              </a:p>
            </c:rich>
          </c:tx>
          <c:layout>
            <c:manualLayout>
              <c:xMode val="edge"/>
              <c:yMode val="edge"/>
              <c:x val="1.6666666666666666E-2"/>
              <c:y val="0.136913458734324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5195254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Latin</a:t>
            </a:r>
            <a:r>
              <a:rPr lang="en-US" baseline="0"/>
              <a:t> America Export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15590048118985128"/>
          <c:y val="0.17171296296296296"/>
          <c:w val="0.77242585301837285"/>
          <c:h val="0.67364209682123066"/>
        </c:manualLayout>
      </c:layout>
      <c:scatterChart>
        <c:scatterStyle val="lineMarker"/>
        <c:varyColors val="0"/>
        <c:ser>
          <c:idx val="0"/>
          <c:order val="0"/>
          <c:tx>
            <c:strRef>
              <c:f>Cargo!$B$61</c:f>
              <c:strCache>
                <c:ptCount val="1"/>
                <c:pt idx="0">
                  <c:v>Total Revenues</c:v>
                </c:pt>
              </c:strCache>
            </c:strRef>
          </c:tx>
          <c:spPr>
            <a:ln w="19050" cap="rnd">
              <a:noFill/>
              <a:round/>
            </a:ln>
            <a:effectLst/>
          </c:spPr>
          <c:marker>
            <c:symbol val="circle"/>
            <c:size val="5"/>
            <c:spPr>
              <a:solidFill>
                <a:schemeClr val="accent1"/>
              </a:solidFill>
              <a:ln w="9525">
                <a:solidFill>
                  <a:schemeClr val="accent1"/>
                </a:solidFill>
              </a:ln>
              <a:effectLst/>
            </c:spPr>
          </c:marker>
          <c:xVal>
            <c:numRef>
              <c:f>Cargo!$D$59:$AG$59</c:f>
              <c:numCache>
                <c:formatCode>#,##0</c:formatCode>
                <c:ptCount val="30"/>
                <c:pt idx="0">
                  <c:v>94973.122458984566</c:v>
                </c:pt>
                <c:pt idx="1">
                  <c:v>107603.87882209642</c:v>
                </c:pt>
                <c:pt idx="2">
                  <c:v>102708.06798549811</c:v>
                </c:pt>
                <c:pt idx="3">
                  <c:v>95587.551834082202</c:v>
                </c:pt>
                <c:pt idx="4">
                  <c:v>86550.942706281392</c:v>
                </c:pt>
                <c:pt idx="5">
                  <c:v>101221.28346830724</c:v>
                </c:pt>
                <c:pt idx="6">
                  <c:v>102286.99590931988</c:v>
                </c:pt>
                <c:pt idx="7">
                  <c:v>101495.58324818056</c:v>
                </c:pt>
                <c:pt idx="8">
                  <c:v>103146.44101835547</c:v>
                </c:pt>
                <c:pt idx="9">
                  <c:v>114031.00901801272</c:v>
                </c:pt>
                <c:pt idx="10">
                  <c:v>117220.61246233829</c:v>
                </c:pt>
                <c:pt idx="11">
                  <c:v>115924.81712171949</c:v>
                </c:pt>
                <c:pt idx="12">
                  <c:v>115958.6177286061</c:v>
                </c:pt>
                <c:pt idx="13">
                  <c:v>123072.3565769181</c:v>
                </c:pt>
                <c:pt idx="14">
                  <c:v>125400.76973702459</c:v>
                </c:pt>
                <c:pt idx="15">
                  <c:v>125943.67783723731</c:v>
                </c:pt>
                <c:pt idx="16">
                  <c:v>110170.44380072938</c:v>
                </c:pt>
                <c:pt idx="17">
                  <c:v>120471.38295192839</c:v>
                </c:pt>
                <c:pt idx="18">
                  <c:v>121964.37485611795</c:v>
                </c:pt>
                <c:pt idx="19">
                  <c:v>118557.7155925532</c:v>
                </c:pt>
                <c:pt idx="20">
                  <c:v>104028.51011778803</c:v>
                </c:pt>
                <c:pt idx="21">
                  <c:v>102561.1832345241</c:v>
                </c:pt>
                <c:pt idx="22">
                  <c:v>112650.58270674043</c:v>
                </c:pt>
                <c:pt idx="23">
                  <c:v>116303.71427764569</c:v>
                </c:pt>
                <c:pt idx="24">
                  <c:v>122601.93959493986</c:v>
                </c:pt>
                <c:pt idx="25">
                  <c:v>156584.67204651076</c:v>
                </c:pt>
                <c:pt idx="26">
                  <c:v>158782.76556073851</c:v>
                </c:pt>
                <c:pt idx="27">
                  <c:v>151828.04766344471</c:v>
                </c:pt>
                <c:pt idx="28">
                  <c:v>156390.54705005008</c:v>
                </c:pt>
                <c:pt idx="29">
                  <c:v>184432.87547775375</c:v>
                </c:pt>
              </c:numCache>
            </c:numRef>
          </c:xVal>
          <c:yVal>
            <c:numRef>
              <c:f>Cargo!$D$61:$AG$61</c:f>
              <c:numCache>
                <c:formatCode>#,##0.00</c:formatCode>
                <c:ptCount val="30"/>
                <c:pt idx="0">
                  <c:v>350.322</c:v>
                </c:pt>
                <c:pt idx="1">
                  <c:v>334.44499999999994</c:v>
                </c:pt>
                <c:pt idx="2">
                  <c:v>309.78100000000001</c:v>
                </c:pt>
                <c:pt idx="3">
                  <c:v>334.88300000000004</c:v>
                </c:pt>
                <c:pt idx="4">
                  <c:v>275.96699999999998</c:v>
                </c:pt>
                <c:pt idx="5">
                  <c:v>260.01</c:v>
                </c:pt>
                <c:pt idx="6">
                  <c:v>264.46978213534021</c:v>
                </c:pt>
                <c:pt idx="7">
                  <c:v>309.05399999999969</c:v>
                </c:pt>
                <c:pt idx="8">
                  <c:v>253.74599999999998</c:v>
                </c:pt>
                <c:pt idx="9">
                  <c:v>256.51099999999997</c:v>
                </c:pt>
                <c:pt idx="10">
                  <c:v>272.15300000000002</c:v>
                </c:pt>
                <c:pt idx="11">
                  <c:v>337.02</c:v>
                </c:pt>
                <c:pt idx="12">
                  <c:v>295.82</c:v>
                </c:pt>
                <c:pt idx="13">
                  <c:v>299.70300000000003</c:v>
                </c:pt>
                <c:pt idx="14">
                  <c:v>278.88299999999987</c:v>
                </c:pt>
                <c:pt idx="15">
                  <c:v>312.06200000000001</c:v>
                </c:pt>
                <c:pt idx="16">
                  <c:v>263.49599999999998</c:v>
                </c:pt>
                <c:pt idx="17">
                  <c:v>269.26100000000002</c:v>
                </c:pt>
                <c:pt idx="18">
                  <c:v>251.69099999999997</c:v>
                </c:pt>
                <c:pt idx="19">
                  <c:v>279.98599999999993</c:v>
                </c:pt>
                <c:pt idx="20">
                  <c:v>252.38899999999998</c:v>
                </c:pt>
                <c:pt idx="21">
                  <c:v>318.72699999999998</c:v>
                </c:pt>
                <c:pt idx="22">
                  <c:v>283.95599999999996</c:v>
                </c:pt>
                <c:pt idx="23">
                  <c:v>354.82099999999997</c:v>
                </c:pt>
                <c:pt idx="24">
                  <c:v>345.22135335000405</c:v>
                </c:pt>
                <c:pt idx="25">
                  <c:v>370.16223400786345</c:v>
                </c:pt>
                <c:pt idx="26">
                  <c:v>361.43700000000007</c:v>
                </c:pt>
                <c:pt idx="27">
                  <c:v>464.81400000000002</c:v>
                </c:pt>
                <c:pt idx="28">
                  <c:v>430.698054402352</c:v>
                </c:pt>
                <c:pt idx="29">
                  <c:v>462.82881499662801</c:v>
                </c:pt>
              </c:numCache>
            </c:numRef>
          </c:yVal>
          <c:smooth val="0"/>
          <c:extLst>
            <c:ext xmlns:c16="http://schemas.microsoft.com/office/drawing/2014/chart" uri="{C3380CC4-5D6E-409C-BE32-E72D297353CC}">
              <c16:uniqueId val="{00000000-8D7B-426B-93A9-8B2086C9DEE5}"/>
            </c:ext>
          </c:extLst>
        </c:ser>
        <c:dLbls>
          <c:showLegendKey val="0"/>
          <c:showVal val="0"/>
          <c:showCatName val="0"/>
          <c:showSerName val="0"/>
          <c:showPercent val="0"/>
          <c:showBubbleSize val="0"/>
        </c:dLbls>
        <c:axId val="1623362112"/>
        <c:axId val="1623374176"/>
      </c:scatterChart>
      <c:valAx>
        <c:axId val="1623362112"/>
        <c:scaling>
          <c:orientation val="minMax"/>
          <c:min val="5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t>Export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623374176"/>
        <c:crosses val="autoZero"/>
        <c:crossBetween val="midCat"/>
      </c:valAx>
      <c:valAx>
        <c:axId val="1623374176"/>
        <c:scaling>
          <c:orientation val="minMax"/>
          <c:min val="2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sz="1000" b="0" i="0" u="none" strike="noStrike" baseline="0">
                    <a:effectLst/>
                  </a:rPr>
                  <a:t>Total Revenues</a:t>
                </a:r>
                <a:r>
                  <a:rPr lang="it-IT" sz="1000" b="0" i="0" u="none" strike="noStrike" baseline="0"/>
                  <a:t> </a:t>
                </a:r>
                <a:endParaRPr lang="it-IT"/>
              </a:p>
            </c:rich>
          </c:tx>
          <c:layout>
            <c:manualLayout>
              <c:xMode val="edge"/>
              <c:yMode val="edge"/>
              <c:x val="1.1111111111111112E-2"/>
              <c:y val="0.325351049868766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6233621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Cargo_Graph!$N$49</c:f>
          <c:strCache>
            <c:ptCount val="1"/>
            <c:pt idx="0">
              <c:v>Chile Export</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17354961166481106"/>
          <c:y val="0.17171296296296296"/>
          <c:w val="0.7563765666429686"/>
          <c:h val="0.66901246719160101"/>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Cargo!$D$63:$AG$63</c:f>
              <c:numCache>
                <c:formatCode>#,##0.00</c:formatCode>
                <c:ptCount val="30"/>
                <c:pt idx="0">
                  <c:v>17139.2</c:v>
                </c:pt>
                <c:pt idx="1">
                  <c:v>16110.2</c:v>
                </c:pt>
                <c:pt idx="2">
                  <c:v>14246.2</c:v>
                </c:pt>
                <c:pt idx="3">
                  <c:v>14624.7</c:v>
                </c:pt>
                <c:pt idx="4">
                  <c:v>15083.1</c:v>
                </c:pt>
                <c:pt idx="5">
                  <c:v>14818.1</c:v>
                </c:pt>
                <c:pt idx="6">
                  <c:v>14528.4</c:v>
                </c:pt>
                <c:pt idx="7">
                  <c:v>16339.9</c:v>
                </c:pt>
                <c:pt idx="8">
                  <c:v>15704.4</c:v>
                </c:pt>
                <c:pt idx="9">
                  <c:v>16393.400000000001</c:v>
                </c:pt>
                <c:pt idx="10">
                  <c:v>17573.599999999999</c:v>
                </c:pt>
                <c:pt idx="11">
                  <c:v>19232.8</c:v>
                </c:pt>
                <c:pt idx="12">
                  <c:v>19406.900000000001</c:v>
                </c:pt>
                <c:pt idx="13">
                  <c:v>18949.599999999999</c:v>
                </c:pt>
                <c:pt idx="14">
                  <c:v>17621.599999999999</c:v>
                </c:pt>
                <c:pt idx="15">
                  <c:v>18860</c:v>
                </c:pt>
                <c:pt idx="16">
                  <c:v>18259.2</c:v>
                </c:pt>
                <c:pt idx="17">
                  <c:v>17022</c:v>
                </c:pt>
                <c:pt idx="18">
                  <c:v>16697</c:v>
                </c:pt>
                <c:pt idx="19">
                  <c:v>16814.2</c:v>
                </c:pt>
                <c:pt idx="20">
                  <c:v>17215.2</c:v>
                </c:pt>
                <c:pt idx="21">
                  <c:v>17643.3</c:v>
                </c:pt>
                <c:pt idx="22">
                  <c:v>17835.5</c:v>
                </c:pt>
                <c:pt idx="23">
                  <c:v>21391.8</c:v>
                </c:pt>
                <c:pt idx="24">
                  <c:v>22145</c:v>
                </c:pt>
                <c:pt idx="25">
                  <c:v>23788.6</c:v>
                </c:pt>
                <c:pt idx="26">
                  <c:v>23462.7</c:v>
                </c:pt>
                <c:pt idx="27">
                  <c:v>25280.3</c:v>
                </c:pt>
                <c:pt idx="28">
                  <c:v>24585.7</c:v>
                </c:pt>
                <c:pt idx="29">
                  <c:v>25294.3</c:v>
                </c:pt>
              </c:numCache>
            </c:numRef>
          </c:xVal>
          <c:yVal>
            <c:numRef>
              <c:f>Cargo!$D$61:$AG$61</c:f>
              <c:numCache>
                <c:formatCode>#,##0.00</c:formatCode>
                <c:ptCount val="30"/>
                <c:pt idx="0">
                  <c:v>350.322</c:v>
                </c:pt>
                <c:pt idx="1">
                  <c:v>334.44499999999994</c:v>
                </c:pt>
                <c:pt idx="2">
                  <c:v>309.78100000000001</c:v>
                </c:pt>
                <c:pt idx="3">
                  <c:v>334.88300000000004</c:v>
                </c:pt>
                <c:pt idx="4">
                  <c:v>275.96699999999998</c:v>
                </c:pt>
                <c:pt idx="5">
                  <c:v>260.01</c:v>
                </c:pt>
                <c:pt idx="6">
                  <c:v>264.46978213534021</c:v>
                </c:pt>
                <c:pt idx="7">
                  <c:v>309.05399999999969</c:v>
                </c:pt>
                <c:pt idx="8">
                  <c:v>253.74599999999998</c:v>
                </c:pt>
                <c:pt idx="9">
                  <c:v>256.51099999999997</c:v>
                </c:pt>
                <c:pt idx="10">
                  <c:v>272.15300000000002</c:v>
                </c:pt>
                <c:pt idx="11">
                  <c:v>337.02</c:v>
                </c:pt>
                <c:pt idx="12">
                  <c:v>295.82</c:v>
                </c:pt>
                <c:pt idx="13">
                  <c:v>299.70300000000003</c:v>
                </c:pt>
                <c:pt idx="14">
                  <c:v>278.88299999999987</c:v>
                </c:pt>
                <c:pt idx="15">
                  <c:v>312.06200000000001</c:v>
                </c:pt>
                <c:pt idx="16">
                  <c:v>263.49599999999998</c:v>
                </c:pt>
                <c:pt idx="17">
                  <c:v>269.26100000000002</c:v>
                </c:pt>
                <c:pt idx="18">
                  <c:v>251.69099999999997</c:v>
                </c:pt>
                <c:pt idx="19">
                  <c:v>279.98599999999993</c:v>
                </c:pt>
                <c:pt idx="20">
                  <c:v>252.38899999999998</c:v>
                </c:pt>
                <c:pt idx="21">
                  <c:v>318.72699999999998</c:v>
                </c:pt>
                <c:pt idx="22">
                  <c:v>283.95599999999996</c:v>
                </c:pt>
                <c:pt idx="23">
                  <c:v>354.82099999999997</c:v>
                </c:pt>
                <c:pt idx="24">
                  <c:v>345.22135335000405</c:v>
                </c:pt>
                <c:pt idx="25">
                  <c:v>370.16223400786345</c:v>
                </c:pt>
                <c:pt idx="26">
                  <c:v>361.43700000000007</c:v>
                </c:pt>
                <c:pt idx="27">
                  <c:v>464.81400000000002</c:v>
                </c:pt>
                <c:pt idx="28">
                  <c:v>430.698054402352</c:v>
                </c:pt>
                <c:pt idx="29">
                  <c:v>462.82881499662801</c:v>
                </c:pt>
              </c:numCache>
            </c:numRef>
          </c:yVal>
          <c:smooth val="0"/>
          <c:extLst>
            <c:ext xmlns:c16="http://schemas.microsoft.com/office/drawing/2014/chart" uri="{C3380CC4-5D6E-409C-BE32-E72D297353CC}">
              <c16:uniqueId val="{00000000-0AA3-4648-ADBE-365137846BCA}"/>
            </c:ext>
          </c:extLst>
        </c:ser>
        <c:dLbls>
          <c:showLegendKey val="0"/>
          <c:showVal val="0"/>
          <c:showCatName val="0"/>
          <c:showSerName val="0"/>
          <c:showPercent val="0"/>
          <c:showBubbleSize val="0"/>
        </c:dLbls>
        <c:axId val="1618865792"/>
        <c:axId val="1618858304"/>
      </c:scatterChart>
      <c:valAx>
        <c:axId val="16188657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t>Export</a:t>
                </a:r>
              </a:p>
            </c:rich>
          </c:tx>
          <c:layout>
            <c:manualLayout>
              <c:xMode val="edge"/>
              <c:yMode val="edge"/>
              <c:x val="0.50548565373110299"/>
              <c:y val="0.9203470399533392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618858304"/>
        <c:crosses val="autoZero"/>
        <c:crossBetween val="midCat"/>
      </c:valAx>
      <c:valAx>
        <c:axId val="1618858304"/>
        <c:scaling>
          <c:orientation val="minMax"/>
          <c:min val="2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t>Total</a:t>
                </a:r>
                <a:r>
                  <a:rPr lang="it-IT" baseline="0"/>
                  <a:t> Revenues</a:t>
                </a:r>
              </a:p>
            </c:rich>
          </c:tx>
          <c:layout>
            <c:manualLayout>
              <c:xMode val="edge"/>
              <c:yMode val="edge"/>
              <c:x val="1.1357183418512209E-2"/>
              <c:y val="0.325351049868766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6188657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Fleet!$D$37:$L$37</c:f>
              <c:numCache>
                <c:formatCode>#,##0_);[Red]\(#,##0\)</c:formatCode>
                <c:ptCount val="9"/>
                <c:pt idx="0">
                  <c:v>-1381786</c:v>
                </c:pt>
                <c:pt idx="1">
                  <c:v>-474656</c:v>
                </c:pt>
                <c:pt idx="2">
                  <c:v>-1569749.3955385466</c:v>
                </c:pt>
                <c:pt idx="3">
                  <c:v>-694370</c:v>
                </c:pt>
                <c:pt idx="4">
                  <c:v>-403666</c:v>
                </c:pt>
                <c:pt idx="5">
                  <c:v>-660707</c:v>
                </c:pt>
                <c:pt idx="6">
                  <c:v>-1276621</c:v>
                </c:pt>
                <c:pt idx="7">
                  <c:v>-324264</c:v>
                </c:pt>
                <c:pt idx="8">
                  <c:v>-587245</c:v>
                </c:pt>
              </c:numCache>
            </c:numRef>
          </c:xVal>
          <c:yVal>
            <c:numRef>
              <c:f>Fleet!$D$47:$L$47</c:f>
              <c:numCache>
                <c:formatCode>General</c:formatCode>
                <c:ptCount val="9"/>
                <c:pt idx="0">
                  <c:v>39</c:v>
                </c:pt>
                <c:pt idx="1">
                  <c:v>-40</c:v>
                </c:pt>
                <c:pt idx="2">
                  <c:v>2</c:v>
                </c:pt>
                <c:pt idx="3">
                  <c:v>11</c:v>
                </c:pt>
                <c:pt idx="4">
                  <c:v>-7</c:v>
                </c:pt>
                <c:pt idx="5">
                  <c:v>5</c:v>
                </c:pt>
                <c:pt idx="6">
                  <c:v>6</c:v>
                </c:pt>
                <c:pt idx="7">
                  <c:v>-27</c:v>
                </c:pt>
                <c:pt idx="8">
                  <c:v>-13</c:v>
                </c:pt>
              </c:numCache>
            </c:numRef>
          </c:yVal>
          <c:smooth val="0"/>
          <c:extLst>
            <c:ext xmlns:c16="http://schemas.microsoft.com/office/drawing/2014/chart" uri="{C3380CC4-5D6E-409C-BE32-E72D297353CC}">
              <c16:uniqueId val="{00000000-D398-493D-B001-C982CC930E50}"/>
            </c:ext>
          </c:extLst>
        </c:ser>
        <c:ser>
          <c:idx val="1"/>
          <c:order val="1"/>
          <c:tx>
            <c:v>"Leasing"</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xVal>
            <c:numRef>
              <c:f>Fleet!$D$37:$L$37</c:f>
              <c:numCache>
                <c:formatCode>#,##0_);[Red]\(#,##0\)</c:formatCode>
                <c:ptCount val="9"/>
                <c:pt idx="0">
                  <c:v>-1381786</c:v>
                </c:pt>
                <c:pt idx="1">
                  <c:v>-474656</c:v>
                </c:pt>
                <c:pt idx="2">
                  <c:v>-1569749.3955385466</c:v>
                </c:pt>
                <c:pt idx="3">
                  <c:v>-694370</c:v>
                </c:pt>
                <c:pt idx="4">
                  <c:v>-403666</c:v>
                </c:pt>
                <c:pt idx="5">
                  <c:v>-660707</c:v>
                </c:pt>
                <c:pt idx="6">
                  <c:v>-1276621</c:v>
                </c:pt>
                <c:pt idx="7">
                  <c:v>-324264</c:v>
                </c:pt>
                <c:pt idx="8">
                  <c:v>-587245</c:v>
                </c:pt>
              </c:numCache>
            </c:numRef>
          </c:xVal>
          <c:yVal>
            <c:numRef>
              <c:f>Fleet!$D$48:$L$48</c:f>
              <c:numCache>
                <c:formatCode>General</c:formatCode>
                <c:ptCount val="9"/>
                <c:pt idx="0">
                  <c:v>5</c:v>
                </c:pt>
                <c:pt idx="1">
                  <c:v>-31</c:v>
                </c:pt>
                <c:pt idx="2">
                  <c:v>-5</c:v>
                </c:pt>
                <c:pt idx="3">
                  <c:v>19</c:v>
                </c:pt>
                <c:pt idx="4">
                  <c:v>-18</c:v>
                </c:pt>
                <c:pt idx="5">
                  <c:v>-2</c:v>
                </c:pt>
                <c:pt idx="6">
                  <c:v>15</c:v>
                </c:pt>
                <c:pt idx="7">
                  <c:v>-8</c:v>
                </c:pt>
                <c:pt idx="8">
                  <c:v>19</c:v>
                </c:pt>
              </c:numCache>
            </c:numRef>
          </c:yVal>
          <c:smooth val="0"/>
          <c:extLst>
            <c:ext xmlns:c16="http://schemas.microsoft.com/office/drawing/2014/chart" uri="{C3380CC4-5D6E-409C-BE32-E72D297353CC}">
              <c16:uniqueId val="{00000001-D398-493D-B001-C982CC930E50}"/>
            </c:ext>
          </c:extLst>
        </c:ser>
        <c:dLbls>
          <c:showLegendKey val="0"/>
          <c:showVal val="0"/>
          <c:showCatName val="0"/>
          <c:showSerName val="0"/>
          <c:showPercent val="0"/>
          <c:showBubbleSize val="0"/>
        </c:dLbls>
        <c:axId val="763662527"/>
        <c:axId val="763671679"/>
      </c:scatterChart>
      <c:valAx>
        <c:axId val="763662527"/>
        <c:scaling>
          <c:orientation val="minMax"/>
        </c:scaling>
        <c:delete val="0"/>
        <c:axPos val="b"/>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763671679"/>
        <c:crosses val="autoZero"/>
        <c:crossBetween val="midCat"/>
      </c:valAx>
      <c:valAx>
        <c:axId val="76367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763662527"/>
        <c:crosses val="autoZero"/>
        <c:crossBetween val="midCat"/>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Pitch!$B$7</c:f>
              <c:strCache>
                <c:ptCount val="1"/>
                <c:pt idx="0">
                  <c:v>MIN</c:v>
                </c:pt>
              </c:strCache>
            </c:strRef>
          </c:tx>
          <c:spPr>
            <a:noFill/>
            <a:ln>
              <a:noFill/>
            </a:ln>
            <a:effectLst/>
          </c:spPr>
          <c:invertIfNegative val="0"/>
          <c:cat>
            <c:strRef>
              <c:f>Pitch!$C$6:$E$6</c:f>
              <c:strCache>
                <c:ptCount val="3"/>
                <c:pt idx="0">
                  <c:v>DCF APPROACH</c:v>
                </c:pt>
                <c:pt idx="1">
                  <c:v>EV/EBITDA</c:v>
                </c:pt>
                <c:pt idx="2">
                  <c:v>EV/SALES</c:v>
                </c:pt>
              </c:strCache>
            </c:strRef>
          </c:cat>
          <c:val>
            <c:numRef>
              <c:f>Pitch!$C$7:$E$7</c:f>
              <c:numCache>
                <c:formatCode>General</c:formatCode>
                <c:ptCount val="3"/>
                <c:pt idx="0">
                  <c:v>9741300000</c:v>
                </c:pt>
                <c:pt idx="1">
                  <c:v>6411626600</c:v>
                </c:pt>
                <c:pt idx="2">
                  <c:v>6872746400</c:v>
                </c:pt>
              </c:numCache>
            </c:numRef>
          </c:val>
          <c:extLst>
            <c:ext xmlns:c16="http://schemas.microsoft.com/office/drawing/2014/chart" uri="{C3380CC4-5D6E-409C-BE32-E72D297353CC}">
              <c16:uniqueId val="{00000000-C670-45C8-815F-3AAB9D298ED2}"/>
            </c:ext>
          </c:extLst>
        </c:ser>
        <c:ser>
          <c:idx val="1"/>
          <c:order val="1"/>
          <c:tx>
            <c:strRef>
              <c:f>Pitch!$B$8</c:f>
              <c:strCache>
                <c:ptCount val="1"/>
                <c:pt idx="0">
                  <c:v>MAX</c:v>
                </c:pt>
              </c:strCache>
            </c:strRef>
          </c:tx>
          <c:spPr>
            <a:solidFill>
              <a:srgbClr val="1F177D"/>
            </a:solidFill>
            <a:ln>
              <a:noFill/>
            </a:ln>
            <a:effectLst/>
          </c:spPr>
          <c:invertIfNegative val="0"/>
          <c:cat>
            <c:strRef>
              <c:f>Pitch!$C$6:$E$6</c:f>
              <c:strCache>
                <c:ptCount val="3"/>
                <c:pt idx="0">
                  <c:v>DCF APPROACH</c:v>
                </c:pt>
                <c:pt idx="1">
                  <c:v>EV/EBITDA</c:v>
                </c:pt>
                <c:pt idx="2">
                  <c:v>EV/SALES</c:v>
                </c:pt>
              </c:strCache>
            </c:strRef>
          </c:cat>
          <c:val>
            <c:numRef>
              <c:f>Pitch!$C$8:$E$8</c:f>
              <c:numCache>
                <c:formatCode>General</c:formatCode>
                <c:ptCount val="3"/>
                <c:pt idx="0">
                  <c:v>1058700000</c:v>
                </c:pt>
                <c:pt idx="1">
                  <c:v>16399315360</c:v>
                </c:pt>
                <c:pt idx="2">
                  <c:v>12199124860</c:v>
                </c:pt>
              </c:numCache>
            </c:numRef>
          </c:val>
          <c:extLst>
            <c:ext xmlns:c16="http://schemas.microsoft.com/office/drawing/2014/chart" uri="{C3380CC4-5D6E-409C-BE32-E72D297353CC}">
              <c16:uniqueId val="{00000001-C670-45C8-815F-3AAB9D298ED2}"/>
            </c:ext>
          </c:extLst>
        </c:ser>
        <c:dLbls>
          <c:showLegendKey val="0"/>
          <c:showVal val="0"/>
          <c:showCatName val="0"/>
          <c:showSerName val="0"/>
          <c:showPercent val="0"/>
          <c:showBubbleSize val="0"/>
        </c:dLbls>
        <c:gapWidth val="219"/>
        <c:overlap val="100"/>
        <c:axId val="259143087"/>
        <c:axId val="259158063"/>
      </c:barChart>
      <c:catAx>
        <c:axId val="259143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F177D"/>
                </a:solidFill>
                <a:latin typeface="+mn-lt"/>
                <a:ea typeface="+mn-ea"/>
                <a:cs typeface="+mn-cs"/>
              </a:defRPr>
            </a:pPr>
            <a:endParaRPr lang="it-IT"/>
          </a:p>
        </c:txPr>
        <c:crossAx val="259158063"/>
        <c:crosses val="autoZero"/>
        <c:auto val="1"/>
        <c:lblAlgn val="ctr"/>
        <c:lblOffset val="100"/>
        <c:noMultiLvlLbl val="0"/>
      </c:catAx>
      <c:valAx>
        <c:axId val="259158063"/>
        <c:scaling>
          <c:orientation val="minMax"/>
        </c:scaling>
        <c:delete val="0"/>
        <c:axPos val="b"/>
        <c:majorGridlines>
          <c:spPr>
            <a:ln w="9525" cap="flat" cmpd="sng" algn="ctr">
              <a:solidFill>
                <a:schemeClr val="tx1">
                  <a:lumMod val="15000"/>
                  <a:lumOff val="85000"/>
                </a:schemeClr>
              </a:solidFill>
              <a:round/>
            </a:ln>
            <a:effectLst/>
          </c:spPr>
        </c:majorGridlines>
        <c:numFmt formatCode="#,##0\ [$$-C0C]"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59143087"/>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spPr>
            <a:ln w="28575" cap="rnd">
              <a:solidFill>
                <a:schemeClr val="accent1"/>
              </a:solidFill>
              <a:round/>
            </a:ln>
            <a:effectLst/>
          </c:spPr>
          <c:marker>
            <c:symbol val="none"/>
          </c:marker>
          <c:val>
            <c:numRef>
              <c:f>SS!$N$206:$BO$206</c:f>
              <c:numCache>
                <c:formatCode>General</c:formatCode>
                <c:ptCount val="54"/>
                <c:pt idx="0">
                  <c:v>3.1661352903970465E-2</c:v>
                </c:pt>
                <c:pt idx="1">
                  <c:v>7.5619168518882854E-2</c:v>
                </c:pt>
                <c:pt idx="2">
                  <c:v>0.10871005396741278</c:v>
                </c:pt>
                <c:pt idx="3">
                  <c:v>0.12290793988177129</c:v>
                </c:pt>
                <c:pt idx="4">
                  <c:v>0.12581379624441374</c:v>
                </c:pt>
                <c:pt idx="5">
                  <c:v>1.7748319961802043E-2</c:v>
                </c:pt>
                <c:pt idx="6">
                  <c:v>5.059333897240318E-2</c:v>
                </c:pt>
                <c:pt idx="7">
                  <c:v>8.3270025020444449E-2</c:v>
                </c:pt>
                <c:pt idx="8">
                  <c:v>3.2087841507990142E-2</c:v>
                </c:pt>
                <c:pt idx="9">
                  <c:v>4.4059468252150083E-2</c:v>
                </c:pt>
                <c:pt idx="10">
                  <c:v>2.7569470409379827E-2</c:v>
                </c:pt>
                <c:pt idx="11">
                  <c:v>4.6083648059825857E-2</c:v>
                </c:pt>
                <c:pt idx="12">
                  <c:v>8.3031607413615663E-2</c:v>
                </c:pt>
                <c:pt idx="13">
                  <c:v>0.14867852895939165</c:v>
                </c:pt>
                <c:pt idx="14">
                  <c:v>0.14350476439096194</c:v>
                </c:pt>
                <c:pt idx="15">
                  <c:v>2.6518977603923407E-2</c:v>
                </c:pt>
                <c:pt idx="16">
                  <c:v>3.6860712617055723E-2</c:v>
                </c:pt>
                <c:pt idx="17">
                  <c:v>4.7508317188176601E-2</c:v>
                </c:pt>
                <c:pt idx="18">
                  <c:v>6.3706112766526282E-2</c:v>
                </c:pt>
                <c:pt idx="19">
                  <c:v>6.6142136104183694E-2</c:v>
                </c:pt>
                <c:pt idx="20">
                  <c:v>6.3951273695962976E-3</c:v>
                </c:pt>
                <c:pt idx="21">
                  <c:v>1.8243189769495152E-2</c:v>
                </c:pt>
                <c:pt idx="22">
                  <c:v>2.4010740718267545E-2</c:v>
                </c:pt>
                <c:pt idx="23">
                  <c:v>3.9653004530469667E-2</c:v>
                </c:pt>
                <c:pt idx="24">
                  <c:v>4.010457674781813E-2</c:v>
                </c:pt>
                <c:pt idx="25">
                  <c:v>1.7740691194083457E-2</c:v>
                </c:pt>
                <c:pt idx="26">
                  <c:v>2.7582876323789505E-2</c:v>
                </c:pt>
                <c:pt idx="27">
                  <c:v>5.0798680522228384E-2</c:v>
                </c:pt>
                <c:pt idx="28">
                  <c:v>6.6724270905950886E-2</c:v>
                </c:pt>
                <c:pt idx="29">
                  <c:v>6.6380264362856184E-2</c:v>
                </c:pt>
                <c:pt idx="35">
                  <c:v>5.2848911705497978E-2</c:v>
                </c:pt>
                <c:pt idx="36">
                  <c:v>1.4543975195909649E-2</c:v>
                </c:pt>
                <c:pt idx="37">
                  <c:v>3.2355019696788827E-2</c:v>
                </c:pt>
                <c:pt idx="38">
                  <c:v>4.6753840556502418E-2</c:v>
                </c:pt>
                <c:pt idx="39">
                  <c:v>0</c:v>
                </c:pt>
                <c:pt idx="40">
                  <c:v>9.8812596471505587E-2</c:v>
                </c:pt>
                <c:pt idx="41">
                  <c:v>1.0428326905640708E-2</c:v>
                </c:pt>
                <c:pt idx="42">
                  <c:v>5.1543450165735753E-3</c:v>
                </c:pt>
                <c:pt idx="43">
                  <c:v>6.3893603444163359E-3</c:v>
                </c:pt>
                <c:pt idx="44">
                  <c:v>0</c:v>
                </c:pt>
                <c:pt idx="45">
                  <c:v>3.0219559267339897E-2</c:v>
                </c:pt>
                <c:pt idx="46">
                  <c:v>2.357443229056047E-3</c:v>
                </c:pt>
                <c:pt idx="47">
                  <c:v>8.0307206628731139E-3</c:v>
                </c:pt>
                <c:pt idx="48">
                  <c:v>3.7322370203739991E-2</c:v>
                </c:pt>
                <c:pt idx="49">
                  <c:v>0</c:v>
                </c:pt>
                <c:pt idx="50">
                  <c:v>6.1881267672139133E-2</c:v>
                </c:pt>
                <c:pt idx="51">
                  <c:v>9.3668330652052333E-3</c:v>
                </c:pt>
                <c:pt idx="52">
                  <c:v>2.2194717688516483E-2</c:v>
                </c:pt>
                <c:pt idx="53">
                  <c:v>4.8755746084443899E-2</c:v>
                </c:pt>
              </c:numCache>
            </c:numRef>
          </c:val>
          <c:smooth val="0"/>
          <c:extLst>
            <c:ext xmlns:c16="http://schemas.microsoft.com/office/drawing/2014/chart" uri="{C3380CC4-5D6E-409C-BE32-E72D297353CC}">
              <c16:uniqueId val="{00000000-C370-1746-AEA8-6DB93CB7DD5C}"/>
            </c:ext>
          </c:extLst>
        </c:ser>
        <c:dLbls>
          <c:showLegendKey val="0"/>
          <c:showVal val="0"/>
          <c:showCatName val="0"/>
          <c:showSerName val="0"/>
          <c:showPercent val="0"/>
          <c:showBubbleSize val="0"/>
        </c:dLbls>
        <c:smooth val="0"/>
        <c:axId val="1595758239"/>
        <c:axId val="2010452144"/>
      </c:lineChart>
      <c:catAx>
        <c:axId val="15957582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010452144"/>
        <c:crosses val="autoZero"/>
        <c:auto val="1"/>
        <c:lblAlgn val="ctr"/>
        <c:lblOffset val="100"/>
        <c:noMultiLvlLbl val="0"/>
      </c:catAx>
      <c:valAx>
        <c:axId val="2010452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595758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RPKs_Brazil</a:t>
            </a:r>
            <a:r>
              <a:rPr lang="en-US" baseline="0"/>
              <a:t> </a:t>
            </a:r>
            <a:endParaRPr lang="en-US"/>
          </a:p>
        </c:rich>
      </c:tx>
      <c:overlay val="0"/>
      <c:spPr>
        <a:noFill/>
        <a:ln>
          <a:noFill/>
        </a:ln>
        <a:effectLst/>
      </c:spPr>
    </c:title>
    <c:autoTitleDeleted val="0"/>
    <c:plotArea>
      <c:layout/>
      <c:lineChart>
        <c:grouping val="standard"/>
        <c:varyColors val="0"/>
        <c:ser>
          <c:idx val="1"/>
          <c:order val="0"/>
          <c:tx>
            <c:strRef>
              <c:f>'Domestic, Brazil estimate'!$B$33</c:f>
              <c:strCache>
                <c:ptCount val="1"/>
                <c:pt idx="0">
                  <c:v>RPKs</c:v>
                </c:pt>
              </c:strCache>
            </c:strRef>
          </c:tx>
          <c:marker>
            <c:symbol val="none"/>
          </c:marker>
          <c:dPt>
            <c:idx val="23"/>
            <c:bubble3D val="0"/>
            <c:spPr>
              <a:ln w="28575" cap="rnd">
                <a:solidFill>
                  <a:schemeClr val="accent6"/>
                </a:solidFill>
                <a:round/>
              </a:ln>
              <a:effectLst/>
            </c:spPr>
            <c:extLst>
              <c:ext xmlns:c16="http://schemas.microsoft.com/office/drawing/2014/chart" uri="{C3380CC4-5D6E-409C-BE32-E72D297353CC}">
                <c16:uniqueId val="{00000001-5FD5-1A4F-8D7F-E585D4788A70}"/>
              </c:ext>
            </c:extLst>
          </c:dPt>
          <c:dPt>
            <c:idx val="24"/>
            <c:bubble3D val="0"/>
            <c:spPr>
              <a:ln w="28575" cap="rnd">
                <a:solidFill>
                  <a:schemeClr val="accent6"/>
                </a:solidFill>
                <a:round/>
              </a:ln>
              <a:effectLst/>
            </c:spPr>
            <c:extLst>
              <c:ext xmlns:c16="http://schemas.microsoft.com/office/drawing/2014/chart" uri="{C3380CC4-5D6E-409C-BE32-E72D297353CC}">
                <c16:uniqueId val="{00000003-5FD5-1A4F-8D7F-E585D4788A70}"/>
              </c:ext>
            </c:extLst>
          </c:dPt>
          <c:dPt>
            <c:idx val="25"/>
            <c:bubble3D val="0"/>
            <c:spPr>
              <a:ln w="28575" cap="rnd">
                <a:solidFill>
                  <a:schemeClr val="accent6"/>
                </a:solidFill>
                <a:round/>
              </a:ln>
              <a:effectLst/>
            </c:spPr>
            <c:extLst>
              <c:ext xmlns:c16="http://schemas.microsoft.com/office/drawing/2014/chart" uri="{C3380CC4-5D6E-409C-BE32-E72D297353CC}">
                <c16:uniqueId val="{00000005-5FD5-1A4F-8D7F-E585D4788A70}"/>
              </c:ext>
            </c:extLst>
          </c:dPt>
          <c:dPt>
            <c:idx val="26"/>
            <c:bubble3D val="0"/>
            <c:spPr>
              <a:ln w="28575" cap="rnd">
                <a:solidFill>
                  <a:schemeClr val="accent6"/>
                </a:solidFill>
                <a:round/>
              </a:ln>
              <a:effectLst/>
            </c:spPr>
            <c:extLst>
              <c:ext xmlns:c16="http://schemas.microsoft.com/office/drawing/2014/chart" uri="{C3380CC4-5D6E-409C-BE32-E72D297353CC}">
                <c16:uniqueId val="{00000007-5FD5-1A4F-8D7F-E585D4788A70}"/>
              </c:ext>
            </c:extLst>
          </c:dPt>
          <c:dPt>
            <c:idx val="27"/>
            <c:bubble3D val="0"/>
            <c:spPr>
              <a:ln w="28575" cap="rnd">
                <a:solidFill>
                  <a:schemeClr val="accent6"/>
                </a:solidFill>
                <a:round/>
              </a:ln>
              <a:effectLst/>
            </c:spPr>
            <c:extLst>
              <c:ext xmlns:c16="http://schemas.microsoft.com/office/drawing/2014/chart" uri="{C3380CC4-5D6E-409C-BE32-E72D297353CC}">
                <c16:uniqueId val="{00000009-5FD5-1A4F-8D7F-E585D4788A70}"/>
              </c:ext>
            </c:extLst>
          </c:dPt>
          <c:cat>
            <c:numRef>
              <c:f>'Domestic, Brazil estimate'!$A$34:$A$61</c:f>
              <c:numCache>
                <c:formatCode>General</c:formatCode>
                <c:ptCount val="28"/>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numCache>
            </c:numRef>
          </c:cat>
          <c:val>
            <c:numRef>
              <c:f>'Domestic, Brazil estimate'!$B$34:$B$61</c:f>
              <c:numCache>
                <c:formatCode>#,##0</c:formatCode>
                <c:ptCount val="28"/>
                <c:pt idx="0">
                  <c:v>25219968079</c:v>
                </c:pt>
                <c:pt idx="1">
                  <c:v>27336355492</c:v>
                </c:pt>
                <c:pt idx="2">
                  <c:v>26704516044</c:v>
                </c:pt>
                <c:pt idx="3">
                  <c:v>26099852761</c:v>
                </c:pt>
                <c:pt idx="4">
                  <c:v>28881235043</c:v>
                </c:pt>
                <c:pt idx="5">
                  <c:v>35252145026</c:v>
                </c:pt>
                <c:pt idx="6">
                  <c:v>40441366277</c:v>
                </c:pt>
                <c:pt idx="7">
                  <c:v>45470884457</c:v>
                </c:pt>
                <c:pt idx="8">
                  <c:v>49046278775</c:v>
                </c:pt>
                <c:pt idx="9">
                  <c:v>57194653909</c:v>
                </c:pt>
                <c:pt idx="10">
                  <c:v>69862011045</c:v>
                </c:pt>
                <c:pt idx="11">
                  <c:v>81103599006</c:v>
                </c:pt>
                <c:pt idx="12">
                  <c:v>86771899770</c:v>
                </c:pt>
                <c:pt idx="13">
                  <c:v>87739855137</c:v>
                </c:pt>
                <c:pt idx="14">
                  <c:v>93183426748</c:v>
                </c:pt>
                <c:pt idx="15">
                  <c:v>94279579222</c:v>
                </c:pt>
                <c:pt idx="16">
                  <c:v>88893631324</c:v>
                </c:pt>
                <c:pt idx="17">
                  <c:v>91857637947</c:v>
                </c:pt>
                <c:pt idx="18">
                  <c:v>95870486759</c:v>
                </c:pt>
                <c:pt idx="19">
                  <c:v>96449372986</c:v>
                </c:pt>
                <c:pt idx="20">
                  <c:v>48695532564</c:v>
                </c:pt>
                <c:pt idx="21">
                  <c:v>66373162099</c:v>
                </c:pt>
                <c:pt idx="22" formatCode="General">
                  <c:v>96237179239.518707</c:v>
                </c:pt>
                <c:pt idx="23" formatCode="General">
                  <c:v>99065544511.813965</c:v>
                </c:pt>
                <c:pt idx="24">
                  <c:v>107285220818.03784</c:v>
                </c:pt>
                <c:pt idx="25">
                  <c:v>112622271264.76328</c:v>
                </c:pt>
                <c:pt idx="26">
                  <c:v>116772534133.71852</c:v>
                </c:pt>
                <c:pt idx="27">
                  <c:v>121075739060.1198</c:v>
                </c:pt>
              </c:numCache>
            </c:numRef>
          </c:val>
          <c:smooth val="0"/>
          <c:extLst>
            <c:ext xmlns:c16="http://schemas.microsoft.com/office/drawing/2014/chart" uri="{C3380CC4-5D6E-409C-BE32-E72D297353CC}">
              <c16:uniqueId val="{0000000A-5FD5-1A4F-8D7F-E585D4788A70}"/>
            </c:ext>
          </c:extLst>
        </c:ser>
        <c:ser>
          <c:idx val="0"/>
          <c:order val="1"/>
          <c:tx>
            <c:strRef>
              <c:f>'Domestic, Brazil estimate'!$B$33</c:f>
              <c:strCache>
                <c:ptCount val="1"/>
                <c:pt idx="0">
                  <c:v>RPKs</c:v>
                </c:pt>
              </c:strCache>
            </c:strRef>
          </c:tx>
          <c:spPr>
            <a:ln w="28575" cap="rnd">
              <a:solidFill>
                <a:schemeClr val="accent1"/>
              </a:solidFill>
              <a:round/>
            </a:ln>
            <a:effectLst/>
          </c:spPr>
          <c:marker>
            <c:symbol val="none"/>
          </c:marker>
          <c:cat>
            <c:numRef>
              <c:f>'Domestic, Brazil estimate'!$A$34:$A$61</c:f>
              <c:numCache>
                <c:formatCode>General</c:formatCode>
                <c:ptCount val="28"/>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numCache>
            </c:numRef>
          </c:cat>
          <c:val>
            <c:numRef>
              <c:f>'Domestic, Brazil estimate'!$B$34:$B$61</c:f>
              <c:numCache>
                <c:formatCode>#,##0</c:formatCode>
                <c:ptCount val="28"/>
                <c:pt idx="0">
                  <c:v>25219968079</c:v>
                </c:pt>
                <c:pt idx="1">
                  <c:v>27336355492</c:v>
                </c:pt>
                <c:pt idx="2">
                  <c:v>26704516044</c:v>
                </c:pt>
                <c:pt idx="3">
                  <c:v>26099852761</c:v>
                </c:pt>
                <c:pt idx="4">
                  <c:v>28881235043</c:v>
                </c:pt>
                <c:pt idx="5">
                  <c:v>35252145026</c:v>
                </c:pt>
                <c:pt idx="6">
                  <c:v>40441366277</c:v>
                </c:pt>
                <c:pt idx="7">
                  <c:v>45470884457</c:v>
                </c:pt>
                <c:pt idx="8">
                  <c:v>49046278775</c:v>
                </c:pt>
                <c:pt idx="9">
                  <c:v>57194653909</c:v>
                </c:pt>
                <c:pt idx="10">
                  <c:v>69862011045</c:v>
                </c:pt>
                <c:pt idx="11">
                  <c:v>81103599006</c:v>
                </c:pt>
                <c:pt idx="12">
                  <c:v>86771899770</c:v>
                </c:pt>
                <c:pt idx="13">
                  <c:v>87739855137</c:v>
                </c:pt>
                <c:pt idx="14">
                  <c:v>93183426748</c:v>
                </c:pt>
                <c:pt idx="15">
                  <c:v>94279579222</c:v>
                </c:pt>
                <c:pt idx="16">
                  <c:v>88893631324</c:v>
                </c:pt>
                <c:pt idx="17">
                  <c:v>91857637947</c:v>
                </c:pt>
                <c:pt idx="18">
                  <c:v>95870486759</c:v>
                </c:pt>
                <c:pt idx="19">
                  <c:v>96449372986</c:v>
                </c:pt>
                <c:pt idx="20">
                  <c:v>48695532564</c:v>
                </c:pt>
                <c:pt idx="21">
                  <c:v>66373162099</c:v>
                </c:pt>
                <c:pt idx="22" formatCode="General">
                  <c:v>96237179239.518707</c:v>
                </c:pt>
                <c:pt idx="23" formatCode="General">
                  <c:v>99065544511.813965</c:v>
                </c:pt>
                <c:pt idx="24">
                  <c:v>107285220818.03784</c:v>
                </c:pt>
                <c:pt idx="25">
                  <c:v>112622271264.76328</c:v>
                </c:pt>
                <c:pt idx="26">
                  <c:v>116772534133.71852</c:v>
                </c:pt>
                <c:pt idx="27">
                  <c:v>121075739060.1198</c:v>
                </c:pt>
              </c:numCache>
            </c:numRef>
          </c:val>
          <c:smooth val="0"/>
          <c:extLst>
            <c:ext xmlns:c16="http://schemas.microsoft.com/office/drawing/2014/chart" uri="{C3380CC4-5D6E-409C-BE32-E72D297353CC}">
              <c16:uniqueId val="{00000015-5FD5-1A4F-8D7F-E585D4788A70}"/>
            </c:ext>
          </c:extLst>
        </c:ser>
        <c:dLbls>
          <c:showLegendKey val="0"/>
          <c:showVal val="0"/>
          <c:showCatName val="0"/>
          <c:showSerName val="0"/>
          <c:showPercent val="0"/>
          <c:showBubbleSize val="0"/>
        </c:dLbls>
        <c:smooth val="0"/>
        <c:axId val="452127680"/>
        <c:axId val="452113696"/>
      </c:lineChart>
      <c:catAx>
        <c:axId val="45212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452113696"/>
        <c:crosses val="autoZero"/>
        <c:auto val="1"/>
        <c:lblAlgn val="ctr"/>
        <c:lblOffset val="100"/>
        <c:noMultiLvlLbl val="0"/>
      </c:catAx>
      <c:valAx>
        <c:axId val="4521136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452127680"/>
        <c:crosses val="autoZero"/>
        <c:crossBetween val="between"/>
      </c:valAx>
    </c:plotArea>
    <c:plotVisOnly val="1"/>
    <c:dispBlanksAs val="gap"/>
    <c:showDLblsOverMax val="0"/>
  </c:chart>
  <c:txPr>
    <a:bodyPr/>
    <a:lstStyle/>
    <a:p>
      <a:pPr>
        <a:defRPr/>
      </a:pPr>
      <a:endParaRPr lang="it-IT"/>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Market</a:t>
            </a:r>
            <a:r>
              <a:rPr lang="it-IT" baseline="0"/>
              <a:t> Shares</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stacked"/>
        <c:varyColors val="0"/>
        <c:ser>
          <c:idx val="0"/>
          <c:order val="0"/>
          <c:tx>
            <c:v>GOL+AZUL</c:v>
          </c:tx>
          <c:spPr>
            <a:solidFill>
              <a:schemeClr val="accent1"/>
            </a:solidFill>
            <a:ln>
              <a:noFill/>
            </a:ln>
            <a:effectLst/>
          </c:spPr>
          <c:invertIfNegative val="0"/>
          <c:cat>
            <c:strRef>
              <c:f>'Forecast Drivers (2)'!$E$6:$M$6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 (2)'!$E$21:$M$21</c:f>
              <c:numCache>
                <c:formatCode>0.00%</c:formatCode>
                <c:ptCount val="9"/>
                <c:pt idx="0">
                  <c:v>0.61190547095175696</c:v>
                </c:pt>
                <c:pt idx="1">
                  <c:v>0.67056147208337979</c:v>
                </c:pt>
                <c:pt idx="2">
                  <c:v>0.68429228868522285</c:v>
                </c:pt>
                <c:pt idx="3">
                  <c:v>0.65547067622518629</c:v>
                </c:pt>
                <c:pt idx="4">
                  <c:v>0.65750202666135082</c:v>
                </c:pt>
                <c:pt idx="5">
                  <c:v>0.66167287847553735</c:v>
                </c:pt>
                <c:pt idx="6">
                  <c:v>0.66335940016633976</c:v>
                </c:pt>
                <c:pt idx="7">
                  <c:v>0.66456434016831023</c:v>
                </c:pt>
                <c:pt idx="8">
                  <c:v>0.66572645487932869</c:v>
                </c:pt>
              </c:numCache>
            </c:numRef>
          </c:val>
          <c:extLst>
            <c:ext xmlns:c16="http://schemas.microsoft.com/office/drawing/2014/chart" uri="{C3380CC4-5D6E-409C-BE32-E72D297353CC}">
              <c16:uniqueId val="{00000000-20D7-DD44-A6EF-3BA31D4F5418}"/>
            </c:ext>
          </c:extLst>
        </c:ser>
        <c:ser>
          <c:idx val="1"/>
          <c:order val="1"/>
          <c:tx>
            <c:v>LATAM</c:v>
          </c:tx>
          <c:spPr>
            <a:solidFill>
              <a:schemeClr val="accent2"/>
            </a:solidFill>
            <a:ln>
              <a:noFill/>
            </a:ln>
            <a:effectLst/>
          </c:spPr>
          <c:invertIfNegative val="0"/>
          <c:cat>
            <c:strRef>
              <c:f>'Forecast Drivers (2)'!$E$6:$M$6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 (2)'!$E$22:$M$22</c:f>
              <c:numCache>
                <c:formatCode>0.00%</c:formatCode>
                <c:ptCount val="9"/>
                <c:pt idx="0">
                  <c:v>0.34715697949493357</c:v>
                </c:pt>
                <c:pt idx="1">
                  <c:v>0.32492315345776157</c:v>
                </c:pt>
                <c:pt idx="2">
                  <c:v>0.30506081614431718</c:v>
                </c:pt>
                <c:pt idx="3">
                  <c:v>0.34050995244764731</c:v>
                </c:pt>
                <c:pt idx="4">
                  <c:v>0.3383078524079946</c:v>
                </c:pt>
                <c:pt idx="5">
                  <c:v>0.33215957211078689</c:v>
                </c:pt>
                <c:pt idx="6">
                  <c:v>0.32839587689688216</c:v>
                </c:pt>
                <c:pt idx="7">
                  <c:v>0.32570689463048674</c:v>
                </c:pt>
                <c:pt idx="8">
                  <c:v>0.32311348263956979</c:v>
                </c:pt>
              </c:numCache>
            </c:numRef>
          </c:val>
          <c:extLst>
            <c:ext xmlns:c16="http://schemas.microsoft.com/office/drawing/2014/chart" uri="{C3380CC4-5D6E-409C-BE32-E72D297353CC}">
              <c16:uniqueId val="{00000001-20D7-DD44-A6EF-3BA31D4F5418}"/>
            </c:ext>
          </c:extLst>
        </c:ser>
        <c:ser>
          <c:idx val="2"/>
          <c:order val="2"/>
          <c:tx>
            <c:v>Others</c:v>
          </c:tx>
          <c:spPr>
            <a:solidFill>
              <a:schemeClr val="accent3"/>
            </a:solidFill>
            <a:ln>
              <a:noFill/>
            </a:ln>
            <a:effectLst/>
          </c:spPr>
          <c:invertIfNegative val="0"/>
          <c:cat>
            <c:strRef>
              <c:f>'Forecast Drivers (2)'!$E$6:$M$6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 (2)'!$E$23:$M$23</c:f>
              <c:numCache>
                <c:formatCode>0.00%</c:formatCode>
                <c:ptCount val="9"/>
                <c:pt idx="0">
                  <c:v>4.0937549553309457E-2</c:v>
                </c:pt>
                <c:pt idx="1">
                  <c:v>4.5153744588586038E-3</c:v>
                </c:pt>
                <c:pt idx="2">
                  <c:v>1.0646895170459964E-2</c:v>
                </c:pt>
                <c:pt idx="3">
                  <c:v>4.0193713271663989E-3</c:v>
                </c:pt>
                <c:pt idx="4">
                  <c:v>4.1901209306546092E-3</c:v>
                </c:pt>
                <c:pt idx="5">
                  <c:v>6.167549413675759E-3</c:v>
                </c:pt>
                <c:pt idx="6">
                  <c:v>8.2447229367780712E-3</c:v>
                </c:pt>
                <c:pt idx="7">
                  <c:v>9.7287652012028915E-3</c:v>
                </c:pt>
                <c:pt idx="8">
                  <c:v>1.116006248110136E-2</c:v>
                </c:pt>
              </c:numCache>
            </c:numRef>
          </c:val>
          <c:extLst>
            <c:ext xmlns:c16="http://schemas.microsoft.com/office/drawing/2014/chart" uri="{C3380CC4-5D6E-409C-BE32-E72D297353CC}">
              <c16:uniqueId val="{00000002-20D7-DD44-A6EF-3BA31D4F5418}"/>
            </c:ext>
          </c:extLst>
        </c:ser>
        <c:dLbls>
          <c:showLegendKey val="0"/>
          <c:showVal val="0"/>
          <c:showCatName val="0"/>
          <c:showSerName val="0"/>
          <c:showPercent val="0"/>
          <c:showBubbleSize val="0"/>
        </c:dLbls>
        <c:gapWidth val="150"/>
        <c:overlap val="100"/>
        <c:axId val="859197951"/>
        <c:axId val="859135663"/>
      </c:barChart>
      <c:catAx>
        <c:axId val="85919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859135663"/>
        <c:crosses val="autoZero"/>
        <c:auto val="1"/>
        <c:lblAlgn val="ctr"/>
        <c:lblOffset val="100"/>
        <c:noMultiLvlLbl val="0"/>
      </c:catAx>
      <c:valAx>
        <c:axId val="8591356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859197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Latam</a:t>
            </a:r>
            <a:r>
              <a:rPr lang="it-IT" baseline="0"/>
              <a:t> Market Share</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spPr>
            <a:ln w="28575" cap="rnd">
              <a:solidFill>
                <a:schemeClr val="accent1"/>
              </a:solidFill>
              <a:round/>
            </a:ln>
            <a:effectLst/>
          </c:spPr>
          <c:marker>
            <c:symbol val="none"/>
          </c:marker>
          <c:cat>
            <c:strRef>
              <c:f>'Forecast Drivers (2)'!$E$6:$M$6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 (2)'!$E$22:$M$22</c:f>
              <c:numCache>
                <c:formatCode>0.00%</c:formatCode>
                <c:ptCount val="9"/>
                <c:pt idx="0">
                  <c:v>0.34715697949493357</c:v>
                </c:pt>
                <c:pt idx="1">
                  <c:v>0.32492315345776157</c:v>
                </c:pt>
                <c:pt idx="2">
                  <c:v>0.30506081614431718</c:v>
                </c:pt>
                <c:pt idx="3">
                  <c:v>0.34050995244764731</c:v>
                </c:pt>
                <c:pt idx="4">
                  <c:v>0.3383078524079946</c:v>
                </c:pt>
                <c:pt idx="5">
                  <c:v>0.33215957211078689</c:v>
                </c:pt>
                <c:pt idx="6">
                  <c:v>0.32839587689688216</c:v>
                </c:pt>
                <c:pt idx="7">
                  <c:v>0.32570689463048674</c:v>
                </c:pt>
                <c:pt idx="8">
                  <c:v>0.32311348263956979</c:v>
                </c:pt>
              </c:numCache>
            </c:numRef>
          </c:val>
          <c:smooth val="0"/>
          <c:extLst>
            <c:ext xmlns:c16="http://schemas.microsoft.com/office/drawing/2014/chart" uri="{C3380CC4-5D6E-409C-BE32-E72D297353CC}">
              <c16:uniqueId val="{00000000-D855-AC4E-BCF5-1F186C22361B}"/>
            </c:ext>
          </c:extLst>
        </c:ser>
        <c:dLbls>
          <c:showLegendKey val="0"/>
          <c:showVal val="0"/>
          <c:showCatName val="0"/>
          <c:showSerName val="0"/>
          <c:showPercent val="0"/>
          <c:showBubbleSize val="0"/>
        </c:dLbls>
        <c:smooth val="0"/>
        <c:axId val="798947328"/>
        <c:axId val="798337824"/>
      </c:lineChart>
      <c:catAx>
        <c:axId val="79894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798337824"/>
        <c:crosses val="autoZero"/>
        <c:auto val="1"/>
        <c:lblAlgn val="ctr"/>
        <c:lblOffset val="100"/>
        <c:noMultiLvlLbl val="0"/>
      </c:catAx>
      <c:valAx>
        <c:axId val="7983378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798947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Nominal</a:t>
            </a:r>
            <a:r>
              <a:rPr lang="it-IT" baseline="0"/>
              <a:t> - Real yield per RPK</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tx>
            <c:v>Nominal yield</c:v>
          </c:tx>
          <c:spPr>
            <a:ln w="28575" cap="rnd">
              <a:solidFill>
                <a:schemeClr val="accent1"/>
              </a:solidFill>
              <a:round/>
            </a:ln>
            <a:effectLst/>
          </c:spPr>
          <c:marker>
            <c:symbol val="none"/>
          </c:marker>
          <c:cat>
            <c:strRef>
              <c:f>'Forecast Drivers (2)'!$E$6:$M$6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 (2)'!$E$33:$M$33</c:f>
              <c:numCache>
                <c:formatCode>0.00%</c:formatCode>
                <c:ptCount val="9"/>
                <c:pt idx="0">
                  <c:v>0.46921426064895533</c:v>
                </c:pt>
                <c:pt idx="1">
                  <c:v>0.4412543477543665</c:v>
                </c:pt>
                <c:pt idx="2">
                  <c:v>0.44619911021668435</c:v>
                </c:pt>
                <c:pt idx="3">
                  <c:v>0.44351344178878327</c:v>
                </c:pt>
                <c:pt idx="4">
                  <c:v>0.46524560043643359</c:v>
                </c:pt>
                <c:pt idx="5">
                  <c:v>0.48152919645170872</c:v>
                </c:pt>
                <c:pt idx="6">
                  <c:v>0.4971788953363892</c:v>
                </c:pt>
                <c:pt idx="7">
                  <c:v>0.51333720943482186</c:v>
                </c:pt>
                <c:pt idx="8">
                  <c:v>0.53002066874145359</c:v>
                </c:pt>
              </c:numCache>
            </c:numRef>
          </c:val>
          <c:smooth val="0"/>
          <c:extLst>
            <c:ext xmlns:c16="http://schemas.microsoft.com/office/drawing/2014/chart" uri="{C3380CC4-5D6E-409C-BE32-E72D297353CC}">
              <c16:uniqueId val="{00000000-CA6D-3446-B023-0E85DB4B9E0B}"/>
            </c:ext>
          </c:extLst>
        </c:ser>
        <c:ser>
          <c:idx val="1"/>
          <c:order val="1"/>
          <c:tx>
            <c:v>Real Yield</c:v>
          </c:tx>
          <c:spPr>
            <a:ln w="28575" cap="rnd">
              <a:solidFill>
                <a:schemeClr val="accent2"/>
              </a:solidFill>
              <a:round/>
            </a:ln>
            <a:effectLst/>
          </c:spPr>
          <c:marker>
            <c:symbol val="none"/>
          </c:marker>
          <c:val>
            <c:numRef>
              <c:f>'Forecast Drivers (2)'!$E$37:$M$37</c:f>
              <c:numCache>
                <c:formatCode>0.00%</c:formatCode>
                <c:ptCount val="9"/>
                <c:pt idx="0">
                  <c:v>0.45234190749923386</c:v>
                </c:pt>
                <c:pt idx="1">
                  <c:v>0.41215715319817436</c:v>
                </c:pt>
                <c:pt idx="2">
                  <c:v>0.38483457814423477</c:v>
                </c:pt>
                <c:pt idx="3">
                  <c:v>0.41644454628054767</c:v>
                </c:pt>
                <c:pt idx="4">
                  <c:v>0.41644454628054767</c:v>
                </c:pt>
                <c:pt idx="5">
                  <c:v>0.41644454628054767</c:v>
                </c:pt>
                <c:pt idx="6">
                  <c:v>0.41644454628054767</c:v>
                </c:pt>
                <c:pt idx="7">
                  <c:v>0.41644454628054767</c:v>
                </c:pt>
                <c:pt idx="8">
                  <c:v>0.41644454628054767</c:v>
                </c:pt>
              </c:numCache>
            </c:numRef>
          </c:val>
          <c:smooth val="0"/>
          <c:extLst>
            <c:ext xmlns:c16="http://schemas.microsoft.com/office/drawing/2014/chart" uri="{C3380CC4-5D6E-409C-BE32-E72D297353CC}">
              <c16:uniqueId val="{00000001-CA6D-3446-B023-0E85DB4B9E0B}"/>
            </c:ext>
          </c:extLst>
        </c:ser>
        <c:dLbls>
          <c:showLegendKey val="0"/>
          <c:showVal val="0"/>
          <c:showCatName val="0"/>
          <c:showSerName val="0"/>
          <c:showPercent val="0"/>
          <c:showBubbleSize val="0"/>
        </c:dLbls>
        <c:smooth val="0"/>
        <c:axId val="250902688"/>
        <c:axId val="297983264"/>
      </c:lineChart>
      <c:catAx>
        <c:axId val="25090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97983264"/>
        <c:crosses val="autoZero"/>
        <c:auto val="1"/>
        <c:lblAlgn val="ctr"/>
        <c:lblOffset val="100"/>
        <c:noMultiLvlLbl val="0"/>
      </c:catAx>
      <c:valAx>
        <c:axId val="2979832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50902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Market</a:t>
            </a:r>
            <a:r>
              <a:rPr lang="it-IT" baseline="0"/>
              <a:t> Share SSC</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percentStacked"/>
        <c:varyColors val="0"/>
        <c:ser>
          <c:idx val="0"/>
          <c:order val="0"/>
          <c:tx>
            <c:v>LATAM</c:v>
          </c:tx>
          <c:spPr>
            <a:solidFill>
              <a:schemeClr val="accent1"/>
            </a:solidFill>
            <a:ln>
              <a:noFill/>
            </a:ln>
            <a:effectLst/>
          </c:spPr>
          <c:invertIfNegative val="0"/>
          <c:cat>
            <c:strRef>
              <c:f>'Forecast Drivers (2)'!$E$6:$M$6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 (2)'!$E$63:$M$63</c:f>
              <c:numCache>
                <c:formatCode>0.00%</c:formatCode>
                <c:ptCount val="9"/>
                <c:pt idx="0">
                  <c:v>0.39640235091147136</c:v>
                </c:pt>
                <c:pt idx="1">
                  <c:v>0.41564545557592686</c:v>
                </c:pt>
                <c:pt idx="2">
                  <c:v>0.40412994991296763</c:v>
                </c:pt>
                <c:pt idx="3">
                  <c:v>0.38649271319717521</c:v>
                </c:pt>
                <c:pt idx="4">
                  <c:v>0.38438086883915912</c:v>
                </c:pt>
                <c:pt idx="5">
                  <c:v>0.38059135083539336</c:v>
                </c:pt>
                <c:pt idx="6">
                  <c:v>0.37986255964264948</c:v>
                </c:pt>
                <c:pt idx="7">
                  <c:v>0.37915122619570801</c:v>
                </c:pt>
                <c:pt idx="8">
                  <c:v>0.3784569323049814</c:v>
                </c:pt>
              </c:numCache>
            </c:numRef>
          </c:val>
          <c:extLst>
            <c:ext xmlns:c16="http://schemas.microsoft.com/office/drawing/2014/chart" uri="{C3380CC4-5D6E-409C-BE32-E72D297353CC}">
              <c16:uniqueId val="{00000000-F872-0D42-B08B-7C8387E20562}"/>
            </c:ext>
          </c:extLst>
        </c:ser>
        <c:ser>
          <c:idx val="1"/>
          <c:order val="1"/>
          <c:tx>
            <c:v>LCC</c:v>
          </c:tx>
          <c:spPr>
            <a:solidFill>
              <a:schemeClr val="accent2"/>
            </a:solidFill>
            <a:ln>
              <a:noFill/>
            </a:ln>
            <a:effectLst/>
          </c:spPr>
          <c:invertIfNegative val="0"/>
          <c:cat>
            <c:strRef>
              <c:f>'Forecast Drivers (2)'!$E$6:$M$6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 (2)'!$E$64:$M$64</c:f>
              <c:numCache>
                <c:formatCode>0.00%</c:formatCode>
                <c:ptCount val="9"/>
                <c:pt idx="0">
                  <c:v>0.28651846608735165</c:v>
                </c:pt>
                <c:pt idx="1">
                  <c:v>0.34612011629398237</c:v>
                </c:pt>
                <c:pt idx="2">
                  <c:v>0.3466334115951491</c:v>
                </c:pt>
                <c:pt idx="3">
                  <c:v>0.40462054054499441</c:v>
                </c:pt>
                <c:pt idx="4">
                  <c:v>0.41156379322587677</c:v>
                </c:pt>
                <c:pt idx="5">
                  <c:v>0.42402284634644699</c:v>
                </c:pt>
                <c:pt idx="6">
                  <c:v>0.4264189421494427</c:v>
                </c:pt>
                <c:pt idx="7">
                  <c:v>0.42875764094783197</c:v>
                </c:pt>
                <c:pt idx="8">
                  <c:v>0.43104031765163803</c:v>
                </c:pt>
              </c:numCache>
            </c:numRef>
          </c:val>
          <c:extLst>
            <c:ext xmlns:c16="http://schemas.microsoft.com/office/drawing/2014/chart" uri="{C3380CC4-5D6E-409C-BE32-E72D297353CC}">
              <c16:uniqueId val="{00000001-F872-0D42-B08B-7C8387E20562}"/>
            </c:ext>
          </c:extLst>
        </c:ser>
        <c:ser>
          <c:idx val="2"/>
          <c:order val="2"/>
          <c:tx>
            <c:v>Avianca</c:v>
          </c:tx>
          <c:spPr>
            <a:solidFill>
              <a:schemeClr val="accent3"/>
            </a:solidFill>
            <a:ln>
              <a:noFill/>
            </a:ln>
            <a:effectLst/>
          </c:spPr>
          <c:invertIfNegative val="0"/>
          <c:cat>
            <c:strRef>
              <c:f>'Forecast Drivers (2)'!$E$6:$M$6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 (2)'!$E$65:$M$65</c:f>
              <c:numCache>
                <c:formatCode>0.00%</c:formatCode>
                <c:ptCount val="9"/>
                <c:pt idx="0">
                  <c:v>0.26203778935930322</c:v>
                </c:pt>
                <c:pt idx="1">
                  <c:v>0.20381193072356951</c:v>
                </c:pt>
                <c:pt idx="2">
                  <c:v>0.21940639726235098</c:v>
                </c:pt>
                <c:pt idx="3">
                  <c:v>0.1670770277127834</c:v>
                </c:pt>
                <c:pt idx="4">
                  <c:v>0.16081122283514965</c:v>
                </c:pt>
                <c:pt idx="5">
                  <c:v>0.1495677899080268</c:v>
                </c:pt>
                <c:pt idx="6">
                  <c:v>0.1474054793225246</c:v>
                </c:pt>
                <c:pt idx="7">
                  <c:v>0.14529496556020513</c:v>
                </c:pt>
                <c:pt idx="8">
                  <c:v>0.14323500785995455</c:v>
                </c:pt>
              </c:numCache>
            </c:numRef>
          </c:val>
          <c:extLst>
            <c:ext xmlns:c16="http://schemas.microsoft.com/office/drawing/2014/chart" uri="{C3380CC4-5D6E-409C-BE32-E72D297353CC}">
              <c16:uniqueId val="{00000002-F872-0D42-B08B-7C8387E20562}"/>
            </c:ext>
          </c:extLst>
        </c:ser>
        <c:ser>
          <c:idx val="3"/>
          <c:order val="3"/>
          <c:tx>
            <c:v>Others</c:v>
          </c:tx>
          <c:spPr>
            <a:solidFill>
              <a:schemeClr val="accent4"/>
            </a:solidFill>
            <a:ln>
              <a:noFill/>
            </a:ln>
            <a:effectLst/>
          </c:spPr>
          <c:invertIfNegative val="0"/>
          <c:cat>
            <c:strRef>
              <c:f>'Forecast Drivers (2)'!$E$6:$M$6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 (2)'!$E$66:$M$66</c:f>
              <c:numCache>
                <c:formatCode>0.00%</c:formatCode>
                <c:ptCount val="9"/>
                <c:pt idx="0">
                  <c:v>5.5041393641873777E-2</c:v>
                </c:pt>
                <c:pt idx="1">
                  <c:v>3.4422497406521299E-2</c:v>
                </c:pt>
                <c:pt idx="2">
                  <c:v>2.98302412295323E-2</c:v>
                </c:pt>
                <c:pt idx="3">
                  <c:v>4.1809718545046878E-2</c:v>
                </c:pt>
                <c:pt idx="4">
                  <c:v>4.3244115099814365E-2</c:v>
                </c:pt>
                <c:pt idx="5">
                  <c:v>4.5818012910132835E-2</c:v>
                </c:pt>
                <c:pt idx="6">
                  <c:v>4.6313018885383202E-2</c:v>
                </c:pt>
                <c:pt idx="7">
                  <c:v>4.6796167296254819E-2</c:v>
                </c:pt>
                <c:pt idx="8">
                  <c:v>4.7267742183425908E-2</c:v>
                </c:pt>
              </c:numCache>
            </c:numRef>
          </c:val>
          <c:extLst>
            <c:ext xmlns:c16="http://schemas.microsoft.com/office/drawing/2014/chart" uri="{C3380CC4-5D6E-409C-BE32-E72D297353CC}">
              <c16:uniqueId val="{00000003-F872-0D42-B08B-7C8387E20562}"/>
            </c:ext>
          </c:extLst>
        </c:ser>
        <c:dLbls>
          <c:showLegendKey val="0"/>
          <c:showVal val="0"/>
          <c:showCatName val="0"/>
          <c:showSerName val="0"/>
          <c:showPercent val="0"/>
          <c:showBubbleSize val="0"/>
        </c:dLbls>
        <c:gapWidth val="150"/>
        <c:overlap val="100"/>
        <c:axId val="342784048"/>
        <c:axId val="275472672"/>
      </c:barChart>
      <c:catAx>
        <c:axId val="34278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75472672"/>
        <c:crosses val="autoZero"/>
        <c:auto val="1"/>
        <c:lblAlgn val="ctr"/>
        <c:lblOffset val="100"/>
        <c:noMultiLvlLbl val="0"/>
      </c:catAx>
      <c:valAx>
        <c:axId val="275472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342784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Latam</a:t>
            </a:r>
            <a:r>
              <a:rPr lang="it-IT" baseline="0"/>
              <a:t> market share</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spPr>
            <a:ln w="28575" cap="rnd">
              <a:solidFill>
                <a:schemeClr val="accent1"/>
              </a:solidFill>
              <a:round/>
            </a:ln>
            <a:effectLst/>
          </c:spPr>
          <c:marker>
            <c:symbol val="none"/>
          </c:marker>
          <c:cat>
            <c:strRef>
              <c:f>'Forecast Drivers (2)'!$E$6:$M$6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 (2)'!$E$63:$M$63</c:f>
              <c:numCache>
                <c:formatCode>0.00%</c:formatCode>
                <c:ptCount val="9"/>
                <c:pt idx="0">
                  <c:v>0.39640235091147136</c:v>
                </c:pt>
                <c:pt idx="1">
                  <c:v>0.41564545557592686</c:v>
                </c:pt>
                <c:pt idx="2">
                  <c:v>0.40412994991296763</c:v>
                </c:pt>
                <c:pt idx="3">
                  <c:v>0.38649271319717521</c:v>
                </c:pt>
                <c:pt idx="4">
                  <c:v>0.38438086883915912</c:v>
                </c:pt>
                <c:pt idx="5">
                  <c:v>0.38059135083539336</c:v>
                </c:pt>
                <c:pt idx="6">
                  <c:v>0.37986255964264948</c:v>
                </c:pt>
                <c:pt idx="7">
                  <c:v>0.37915122619570801</c:v>
                </c:pt>
                <c:pt idx="8">
                  <c:v>0.3784569323049814</c:v>
                </c:pt>
              </c:numCache>
            </c:numRef>
          </c:val>
          <c:smooth val="0"/>
          <c:extLst>
            <c:ext xmlns:c16="http://schemas.microsoft.com/office/drawing/2014/chart" uri="{C3380CC4-5D6E-409C-BE32-E72D297353CC}">
              <c16:uniqueId val="{00000000-987A-FD49-93A6-1A1C5594F1B8}"/>
            </c:ext>
          </c:extLst>
        </c:ser>
        <c:dLbls>
          <c:showLegendKey val="0"/>
          <c:showVal val="0"/>
          <c:showCatName val="0"/>
          <c:showSerName val="0"/>
          <c:showPercent val="0"/>
          <c:showBubbleSize val="0"/>
        </c:dLbls>
        <c:smooth val="0"/>
        <c:axId val="309971824"/>
        <c:axId val="907221056"/>
      </c:lineChart>
      <c:catAx>
        <c:axId val="30997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907221056"/>
        <c:crosses val="autoZero"/>
        <c:auto val="1"/>
        <c:lblAlgn val="ctr"/>
        <c:lblOffset val="100"/>
        <c:noMultiLvlLbl val="0"/>
      </c:catAx>
      <c:valAx>
        <c:axId val="9072210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309971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Forecasted</a:t>
            </a:r>
            <a:r>
              <a:rPr lang="it-IT" baseline="0"/>
              <a:t> $(mln) Revenues Brazil</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spPr>
            <a:ln w="28575" cap="rnd">
              <a:solidFill>
                <a:schemeClr val="accent1"/>
              </a:solidFill>
              <a:round/>
            </a:ln>
            <a:effectLst/>
          </c:spPr>
          <c:marker>
            <c:symbol val="none"/>
          </c:marker>
          <c:cat>
            <c:strRef>
              <c:f>'Forecast Drivers (2)'!$H$6:$M$6</c:f>
              <c:strCache>
                <c:ptCount val="6"/>
                <c:pt idx="0">
                  <c:v>2022E</c:v>
                </c:pt>
                <c:pt idx="1">
                  <c:v>2023F</c:v>
                </c:pt>
                <c:pt idx="2">
                  <c:v>2024F</c:v>
                </c:pt>
                <c:pt idx="3">
                  <c:v>2025F</c:v>
                </c:pt>
                <c:pt idx="4">
                  <c:v>2026F</c:v>
                </c:pt>
                <c:pt idx="5">
                  <c:v>2027F</c:v>
                </c:pt>
              </c:strCache>
            </c:strRef>
          </c:cat>
          <c:val>
            <c:numRef>
              <c:f>'Forecast Drivers (2)'!$H$46:$M$46</c:f>
              <c:numCache>
                <c:formatCode>#,##0</c:formatCode>
                <c:ptCount val="6"/>
                <c:pt idx="0">
                  <c:v>2713.4623490196136</c:v>
                </c:pt>
                <c:pt idx="1">
                  <c:v>2812.6351001752455</c:v>
                </c:pt>
                <c:pt idx="2">
                  <c:v>2900.4871575062175</c:v>
                </c:pt>
                <c:pt idx="3">
                  <c:v>2923.1568096320934</c:v>
                </c:pt>
                <c:pt idx="4">
                  <c:v>2929.5870161831494</c:v>
                </c:pt>
                <c:pt idx="5">
                  <c:v>2952.5763789083489</c:v>
                </c:pt>
              </c:numCache>
            </c:numRef>
          </c:val>
          <c:smooth val="0"/>
          <c:extLst>
            <c:ext xmlns:c16="http://schemas.microsoft.com/office/drawing/2014/chart" uri="{C3380CC4-5D6E-409C-BE32-E72D297353CC}">
              <c16:uniqueId val="{00000000-77BF-F444-A26D-2EBDDA1EDDD4}"/>
            </c:ext>
          </c:extLst>
        </c:ser>
        <c:dLbls>
          <c:showLegendKey val="0"/>
          <c:showVal val="0"/>
          <c:showCatName val="0"/>
          <c:showSerName val="0"/>
          <c:showPercent val="0"/>
          <c:showBubbleSize val="0"/>
        </c:dLbls>
        <c:smooth val="0"/>
        <c:axId val="1005661423"/>
        <c:axId val="1005615135"/>
      </c:lineChart>
      <c:catAx>
        <c:axId val="100566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005615135"/>
        <c:crosses val="autoZero"/>
        <c:auto val="1"/>
        <c:lblAlgn val="ctr"/>
        <c:lblOffset val="100"/>
        <c:noMultiLvlLbl val="0"/>
      </c:catAx>
      <c:valAx>
        <c:axId val="10056151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005661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Brazil</a:t>
            </a:r>
            <a:r>
              <a:rPr lang="en-US" baseline="0"/>
              <a:t> Revenues in BRL (mln)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tx>
            <c:v>RBL</c:v>
          </c:tx>
          <c:spPr>
            <a:ln w="28575" cap="rnd">
              <a:solidFill>
                <a:schemeClr val="accent1"/>
              </a:solidFill>
              <a:round/>
            </a:ln>
            <a:effectLst/>
          </c:spPr>
          <c:marker>
            <c:symbol val="none"/>
          </c:marker>
          <c:cat>
            <c:strRef>
              <c:f>'Forecast Drivers (2)'!$E$6:$M$6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 (2)'!$E$38:$M$38</c:f>
              <c:numCache>
                <c:formatCode>#,##0</c:formatCode>
                <c:ptCount val="9"/>
                <c:pt idx="0">
                  <c:v>15710.735341950001</c:v>
                </c:pt>
                <c:pt idx="1">
                  <c:v>6981.661313999999</c:v>
                </c:pt>
                <c:pt idx="2">
                  <c:v>9034.5731000000014</c:v>
                </c:pt>
                <c:pt idx="3">
                  <c:v>14533.810117941153</c:v>
                </c:pt>
                <c:pt idx="4">
                  <c:v>15592.544212373159</c:v>
                </c:pt>
                <c:pt idx="5">
                  <c:v>17159.684418406392</c:v>
                </c:pt>
                <c:pt idx="6">
                  <c:v>18388.007084939643</c:v>
                </c:pt>
                <c:pt idx="7">
                  <c:v>19524.072083859712</c:v>
                </c:pt>
                <c:pt idx="8">
                  <c:v>20735.046552808657</c:v>
                </c:pt>
              </c:numCache>
            </c:numRef>
          </c:val>
          <c:smooth val="0"/>
          <c:extLst>
            <c:ext xmlns:c16="http://schemas.microsoft.com/office/drawing/2014/chart" uri="{C3380CC4-5D6E-409C-BE32-E72D297353CC}">
              <c16:uniqueId val="{00000000-BEC0-5C4D-9579-ADEB422A5FE9}"/>
            </c:ext>
          </c:extLst>
        </c:ser>
        <c:dLbls>
          <c:showLegendKey val="0"/>
          <c:showVal val="0"/>
          <c:showCatName val="0"/>
          <c:showSerName val="0"/>
          <c:showPercent val="0"/>
          <c:showBubbleSize val="0"/>
        </c:dLbls>
        <c:smooth val="0"/>
        <c:axId val="299661648"/>
        <c:axId val="1035645343"/>
      </c:lineChart>
      <c:catAx>
        <c:axId val="29966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035645343"/>
        <c:crosses val="autoZero"/>
        <c:auto val="1"/>
        <c:lblAlgn val="ctr"/>
        <c:lblOffset val="100"/>
        <c:noMultiLvlLbl val="0"/>
      </c:catAx>
      <c:valAx>
        <c:axId val="1035645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99661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Number of Passengers SSC </a:t>
            </a:r>
            <a:endParaRPr lang="en-US"/>
          </a:p>
        </c:rich>
      </c:tx>
      <c:overlay val="0"/>
      <c:spPr>
        <a:noFill/>
        <a:ln>
          <a:noFill/>
        </a:ln>
        <a:effectLst/>
      </c:spPr>
    </c:title>
    <c:autoTitleDeleted val="0"/>
    <c:plotArea>
      <c:layout/>
      <c:lineChart>
        <c:grouping val="standard"/>
        <c:varyColors val="0"/>
        <c:ser>
          <c:idx val="1"/>
          <c:order val="0"/>
          <c:tx>
            <c:v>Number of Passengers</c:v>
          </c:tx>
          <c:marker>
            <c:symbol val="none"/>
          </c:marker>
          <c:cat>
            <c:numRef>
              <c:f>SSC_Mkt_Sh!$F$24:$S$24</c:f>
              <c:numCache>
                <c:formatCode>General</c:formatCode>
                <c:ptCount val="14"/>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numCache>
            </c:numRef>
          </c:cat>
          <c:val>
            <c:numRef>
              <c:f>SSC_Mkt_Sh!$F$25:$S$25</c:f>
              <c:numCache>
                <c:formatCode>#,##0</c:formatCode>
                <c:ptCount val="14"/>
                <c:pt idx="0">
                  <c:v>42365763</c:v>
                </c:pt>
                <c:pt idx="1">
                  <c:v>45759792</c:v>
                </c:pt>
                <c:pt idx="2">
                  <c:v>48541894</c:v>
                </c:pt>
                <c:pt idx="3">
                  <c:v>49408023</c:v>
                </c:pt>
                <c:pt idx="4">
                  <c:v>53321871</c:v>
                </c:pt>
                <c:pt idx="5">
                  <c:v>58822802</c:v>
                </c:pt>
                <c:pt idx="6">
                  <c:v>21481765</c:v>
                </c:pt>
                <c:pt idx="7">
                  <c:v>41531109</c:v>
                </c:pt>
                <c:pt idx="8">
                  <c:v>61695849.997994058</c:v>
                </c:pt>
                <c:pt idx="9">
                  <c:v>65504039.642803125</c:v>
                </c:pt>
                <c:pt idx="10">
                  <c:v>73662984.403164417</c:v>
                </c:pt>
                <c:pt idx="11">
                  <c:v>75470842.11364615</c:v>
                </c:pt>
                <c:pt idx="12">
                  <c:v>77323068.777244136</c:v>
                </c:pt>
                <c:pt idx="13">
                  <c:v>79220753.309301808</c:v>
                </c:pt>
              </c:numCache>
            </c:numRef>
          </c:val>
          <c:smooth val="0"/>
          <c:extLst>
            <c:ext xmlns:c16="http://schemas.microsoft.com/office/drawing/2014/chart" uri="{C3380CC4-5D6E-409C-BE32-E72D297353CC}">
              <c16:uniqueId val="{00000000-AC94-DA42-9A19-BB889C92898D}"/>
            </c:ext>
          </c:extLst>
        </c:ser>
        <c:dLbls>
          <c:showLegendKey val="0"/>
          <c:showVal val="0"/>
          <c:showCatName val="0"/>
          <c:showSerName val="0"/>
          <c:showPercent val="0"/>
          <c:showBubbleSize val="0"/>
        </c:dLbls>
        <c:smooth val="0"/>
        <c:axId val="452127680"/>
        <c:axId val="452113696"/>
      </c:lineChart>
      <c:catAx>
        <c:axId val="45212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452113696"/>
        <c:crosses val="autoZero"/>
        <c:auto val="1"/>
        <c:lblAlgn val="ctr"/>
        <c:lblOffset val="100"/>
        <c:noMultiLvlLbl val="0"/>
      </c:catAx>
      <c:valAx>
        <c:axId val="4521136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452127680"/>
        <c:crosses val="autoZero"/>
        <c:crossBetween val="between"/>
      </c:valAx>
    </c:plotArea>
    <c:plotVisOnly val="1"/>
    <c:dispBlanksAs val="gap"/>
    <c:showDLblsOverMax val="0"/>
  </c:chart>
  <c:txPr>
    <a:bodyPr/>
    <a:lstStyle/>
    <a:p>
      <a:pPr>
        <a:defRPr/>
      </a:pPr>
      <a:endParaRPr lang="it-IT"/>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LATAM</a:t>
            </a:r>
            <a:r>
              <a:rPr lang="it-IT" baseline="0"/>
              <a:t> number of passengers</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spPr>
            <a:ln w="28575" cap="rnd">
              <a:solidFill>
                <a:schemeClr val="accent1"/>
              </a:solidFill>
              <a:round/>
            </a:ln>
            <a:effectLst/>
          </c:spPr>
          <c:marker>
            <c:symbol val="none"/>
          </c:marker>
          <c:cat>
            <c:strRef>
              <c:f>'Forecast Drivers (2)'!$E$6:$M$6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 (2)'!$E$68:$M$68</c:f>
              <c:numCache>
                <c:formatCode>#,##0</c:formatCode>
                <c:ptCount val="9"/>
                <c:pt idx="0">
                  <c:v>23317497</c:v>
                </c:pt>
                <c:pt idx="1">
                  <c:v>8928798</c:v>
                </c:pt>
                <c:pt idx="2">
                  <c:v>16783965</c:v>
                </c:pt>
                <c:pt idx="3">
                  <c:v>23844996.45873066</c:v>
                </c:pt>
                <c:pt idx="4">
                  <c:v>25178499.670375388</c:v>
                </c:pt>
                <c:pt idx="5">
                  <c:v>28035494.740566857</c:v>
                </c:pt>
                <c:pt idx="6">
                  <c:v>28668547.263675891</c:v>
                </c:pt>
                <c:pt idx="7">
                  <c:v>29317136.34010718</c:v>
                </c:pt>
                <c:pt idx="8">
                  <c:v>29981643.272328064</c:v>
                </c:pt>
              </c:numCache>
            </c:numRef>
          </c:val>
          <c:smooth val="0"/>
          <c:extLst>
            <c:ext xmlns:c16="http://schemas.microsoft.com/office/drawing/2014/chart" uri="{C3380CC4-5D6E-409C-BE32-E72D297353CC}">
              <c16:uniqueId val="{00000000-1FFC-864A-B28B-D77F0971F819}"/>
            </c:ext>
          </c:extLst>
        </c:ser>
        <c:dLbls>
          <c:showLegendKey val="0"/>
          <c:showVal val="0"/>
          <c:showCatName val="0"/>
          <c:showSerName val="0"/>
          <c:showPercent val="0"/>
          <c:showBubbleSize val="0"/>
        </c:dLbls>
        <c:smooth val="0"/>
        <c:axId val="1999065824"/>
        <c:axId val="57208175"/>
      </c:lineChart>
      <c:catAx>
        <c:axId val="199906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57208175"/>
        <c:crosses val="autoZero"/>
        <c:auto val="1"/>
        <c:lblAlgn val="ctr"/>
        <c:lblOffset val="100"/>
        <c:noMultiLvlLbl val="0"/>
      </c:catAx>
      <c:valAx>
        <c:axId val="57208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999065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SSC</a:t>
            </a:r>
            <a:r>
              <a:rPr lang="it-IT" baseline="0"/>
              <a:t> Revenues</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spPr>
            <a:ln w="28575" cap="rnd">
              <a:solidFill>
                <a:schemeClr val="accent1"/>
              </a:solidFill>
              <a:round/>
            </a:ln>
            <a:effectLst/>
          </c:spPr>
          <c:marker>
            <c:symbol val="none"/>
          </c:marker>
          <c:cat>
            <c:strRef>
              <c:f>'Forecast Drivers (2)'!$E$6:$M$6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 (2)'!$E$84:$M$84</c:f>
              <c:numCache>
                <c:formatCode>#,##0</c:formatCode>
                <c:ptCount val="9"/>
                <c:pt idx="0">
                  <c:v>2932.7</c:v>
                </c:pt>
                <c:pt idx="1">
                  <c:v>1225.3000000000002</c:v>
                </c:pt>
                <c:pt idx="2">
                  <c:v>1829.1999999999998</c:v>
                </c:pt>
                <c:pt idx="3">
                  <c:v>2854.8735439465122</c:v>
                </c:pt>
                <c:pt idx="4">
                  <c:v>3246.0447935787179</c:v>
                </c:pt>
                <c:pt idx="5">
                  <c:v>3717.7433467119827</c:v>
                </c:pt>
                <c:pt idx="6">
                  <c:v>3887.609683981002</c:v>
                </c:pt>
                <c:pt idx="7">
                  <c:v>4055.0730993103643</c:v>
                </c:pt>
                <c:pt idx="8">
                  <c:v>4229.9257598096801</c:v>
                </c:pt>
              </c:numCache>
            </c:numRef>
          </c:val>
          <c:smooth val="0"/>
          <c:extLst>
            <c:ext xmlns:c16="http://schemas.microsoft.com/office/drawing/2014/chart" uri="{C3380CC4-5D6E-409C-BE32-E72D297353CC}">
              <c16:uniqueId val="{00000000-9A06-194A-A5B4-7CDCBD60A187}"/>
            </c:ext>
          </c:extLst>
        </c:ser>
        <c:dLbls>
          <c:showLegendKey val="0"/>
          <c:showVal val="0"/>
          <c:showCatName val="0"/>
          <c:showSerName val="0"/>
          <c:showPercent val="0"/>
          <c:showBubbleSize val="0"/>
        </c:dLbls>
        <c:smooth val="0"/>
        <c:axId val="121563087"/>
        <c:axId val="120614863"/>
      </c:lineChart>
      <c:catAx>
        <c:axId val="12156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20614863"/>
        <c:crosses val="autoZero"/>
        <c:auto val="1"/>
        <c:lblAlgn val="ctr"/>
        <c:lblOffset val="100"/>
        <c:noMultiLvlLbl val="0"/>
      </c:catAx>
      <c:valAx>
        <c:axId val="1206148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21563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International</a:t>
            </a:r>
            <a:r>
              <a:rPr lang="it-IT" baseline="0"/>
              <a:t> number of passengers</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spPr>
            <a:ln w="28575" cap="rnd">
              <a:solidFill>
                <a:schemeClr val="accent1"/>
              </a:solidFill>
              <a:round/>
            </a:ln>
            <a:effectLst/>
          </c:spPr>
          <c:marker>
            <c:symbol val="none"/>
          </c:marker>
          <c:cat>
            <c:strRef>
              <c:f>'Forecast Drivers (2)'!$E$6:$M$6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 (2)'!$E$88:$M$88</c:f>
              <c:numCache>
                <c:formatCode>#,##0</c:formatCode>
                <c:ptCount val="9"/>
                <c:pt idx="0">
                  <c:v>63150964</c:v>
                </c:pt>
                <c:pt idx="1">
                  <c:v>17018290</c:v>
                </c:pt>
                <c:pt idx="2">
                  <c:v>18479699</c:v>
                </c:pt>
                <c:pt idx="3">
                  <c:v>24639598.666666668</c:v>
                </c:pt>
                <c:pt idx="4">
                  <c:v>47363223</c:v>
                </c:pt>
                <c:pt idx="5">
                  <c:v>63150964</c:v>
                </c:pt>
                <c:pt idx="6">
                  <c:v>67800750.425779402</c:v>
                </c:pt>
                <c:pt idx="7">
                  <c:v>72792899.223182485</c:v>
                </c:pt>
                <c:pt idx="8">
                  <c:v>78152618.430336326</c:v>
                </c:pt>
              </c:numCache>
            </c:numRef>
          </c:val>
          <c:smooth val="0"/>
          <c:extLst>
            <c:ext xmlns:c16="http://schemas.microsoft.com/office/drawing/2014/chart" uri="{C3380CC4-5D6E-409C-BE32-E72D297353CC}">
              <c16:uniqueId val="{00000000-C551-8B44-99B4-86B91338C48A}"/>
            </c:ext>
          </c:extLst>
        </c:ser>
        <c:dLbls>
          <c:showLegendKey val="0"/>
          <c:showVal val="0"/>
          <c:showCatName val="0"/>
          <c:showSerName val="0"/>
          <c:showPercent val="0"/>
          <c:showBubbleSize val="0"/>
        </c:dLbls>
        <c:smooth val="0"/>
        <c:axId val="1626936415"/>
        <c:axId val="57244671"/>
      </c:lineChart>
      <c:catAx>
        <c:axId val="162693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57244671"/>
        <c:crosses val="autoZero"/>
        <c:auto val="1"/>
        <c:lblAlgn val="ctr"/>
        <c:lblOffset val="100"/>
        <c:noMultiLvlLbl val="0"/>
      </c:catAx>
      <c:valAx>
        <c:axId val="572446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626936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International</a:t>
            </a:r>
            <a:r>
              <a:rPr lang="it-IT" baseline="0"/>
              <a:t> Market Shares</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percentStacked"/>
        <c:varyColors val="0"/>
        <c:ser>
          <c:idx val="0"/>
          <c:order val="0"/>
          <c:tx>
            <c:strRef>
              <c:f>'Forecast Drivers (2)'!$C$98</c:f>
              <c:strCache>
                <c:ptCount val="1"/>
                <c:pt idx="0">
                  <c:v>Joint venture LATAM Delta</c:v>
                </c:pt>
              </c:strCache>
            </c:strRef>
          </c:tx>
          <c:spPr>
            <a:solidFill>
              <a:schemeClr val="accent1"/>
            </a:solidFill>
            <a:ln>
              <a:noFill/>
            </a:ln>
            <a:effectLst/>
          </c:spPr>
          <c:invertIfNegative val="0"/>
          <c:cat>
            <c:strRef>
              <c:f>'Forecast Drivers (2)'!$E$6:$M$6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 (2)'!$E$98:$M$98</c:f>
              <c:numCache>
                <c:formatCode>0.00%</c:formatCode>
                <c:ptCount val="9"/>
                <c:pt idx="0">
                  <c:v>0.30845617811946624</c:v>
                </c:pt>
                <c:pt idx="1">
                  <c:v>0.29432915998023301</c:v>
                </c:pt>
                <c:pt idx="2">
                  <c:v>0.20521513905610694</c:v>
                </c:pt>
                <c:pt idx="3">
                  <c:v>0.20524769722968506</c:v>
                </c:pt>
                <c:pt idx="4">
                  <c:v>0.27524769722968506</c:v>
                </c:pt>
                <c:pt idx="5">
                  <c:v>0.30524769722968503</c:v>
                </c:pt>
                <c:pt idx="6">
                  <c:v>0.30524769722968503</c:v>
                </c:pt>
                <c:pt idx="7">
                  <c:v>0.30524769722968503</c:v>
                </c:pt>
                <c:pt idx="8">
                  <c:v>0.30524769722968503</c:v>
                </c:pt>
              </c:numCache>
            </c:numRef>
          </c:val>
          <c:extLst>
            <c:ext xmlns:c16="http://schemas.microsoft.com/office/drawing/2014/chart" uri="{C3380CC4-5D6E-409C-BE32-E72D297353CC}">
              <c16:uniqueId val="{00000000-B52D-A74F-B9A6-60216BD70ABA}"/>
            </c:ext>
          </c:extLst>
        </c:ser>
        <c:ser>
          <c:idx val="1"/>
          <c:order val="1"/>
          <c:tx>
            <c:strRef>
              <c:f>'Forecast Drivers (2)'!$C$99</c:f>
              <c:strCache>
                <c:ptCount val="1"/>
                <c:pt idx="0">
                  <c:v>Abra group</c:v>
                </c:pt>
              </c:strCache>
            </c:strRef>
          </c:tx>
          <c:spPr>
            <a:solidFill>
              <a:schemeClr val="accent2"/>
            </a:solidFill>
            <a:ln>
              <a:noFill/>
            </a:ln>
            <a:effectLst/>
          </c:spPr>
          <c:invertIfNegative val="0"/>
          <c:cat>
            <c:strRef>
              <c:f>'Forecast Drivers (2)'!$E$6:$M$6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 (2)'!$E$99:$M$99</c:f>
              <c:numCache>
                <c:formatCode>0.00%</c:formatCode>
                <c:ptCount val="9"/>
                <c:pt idx="0">
                  <c:v>0.17050955865060111</c:v>
                </c:pt>
                <c:pt idx="1">
                  <c:v>0.14956502680351552</c:v>
                </c:pt>
                <c:pt idx="2">
                  <c:v>0.14894479612465553</c:v>
                </c:pt>
                <c:pt idx="3">
                  <c:v>0.28272308733848489</c:v>
                </c:pt>
                <c:pt idx="4">
                  <c:v>0.25272308733848492</c:v>
                </c:pt>
                <c:pt idx="5">
                  <c:v>0.24272308733848491</c:v>
                </c:pt>
                <c:pt idx="6">
                  <c:v>0.25272308733848492</c:v>
                </c:pt>
                <c:pt idx="7">
                  <c:v>0.28272308733848495</c:v>
                </c:pt>
                <c:pt idx="8">
                  <c:v>0.29272308733848496</c:v>
                </c:pt>
              </c:numCache>
            </c:numRef>
          </c:val>
          <c:extLst>
            <c:ext xmlns:c16="http://schemas.microsoft.com/office/drawing/2014/chart" uri="{C3380CC4-5D6E-409C-BE32-E72D297353CC}">
              <c16:uniqueId val="{00000001-B52D-A74F-B9A6-60216BD70ABA}"/>
            </c:ext>
          </c:extLst>
        </c:ser>
        <c:ser>
          <c:idx val="2"/>
          <c:order val="2"/>
          <c:tx>
            <c:strRef>
              <c:f>'Forecast Drivers (2)'!$C$100</c:f>
              <c:strCache>
                <c:ptCount val="1"/>
                <c:pt idx="0">
                  <c:v>Copa Holdings</c:v>
                </c:pt>
              </c:strCache>
            </c:strRef>
          </c:tx>
          <c:spPr>
            <a:solidFill>
              <a:schemeClr val="accent3"/>
            </a:solidFill>
            <a:ln>
              <a:noFill/>
            </a:ln>
            <a:effectLst/>
          </c:spPr>
          <c:invertIfNegative val="0"/>
          <c:cat>
            <c:strRef>
              <c:f>'Forecast Drivers (2)'!$E$6:$M$6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 (2)'!$E$100:$M$100</c:f>
              <c:numCache>
                <c:formatCode>0.00%</c:formatCode>
                <c:ptCount val="9"/>
                <c:pt idx="0">
                  <c:v>3.6601547365136024E-2</c:v>
                </c:pt>
                <c:pt idx="1">
                  <c:v>4.3024534192330724E-2</c:v>
                </c:pt>
                <c:pt idx="2">
                  <c:v>0.12499781517004147</c:v>
                </c:pt>
                <c:pt idx="3">
                  <c:v>0.10086713549558274</c:v>
                </c:pt>
                <c:pt idx="4">
                  <c:v>9.0867135495582743E-2</c:v>
                </c:pt>
                <c:pt idx="5">
                  <c:v>8.5867135495582739E-2</c:v>
                </c:pt>
                <c:pt idx="6">
                  <c:v>8.5867135495582739E-2</c:v>
                </c:pt>
                <c:pt idx="7">
                  <c:v>8.5867135495582739E-2</c:v>
                </c:pt>
                <c:pt idx="8">
                  <c:v>8.5867135495582739E-2</c:v>
                </c:pt>
              </c:numCache>
            </c:numRef>
          </c:val>
          <c:extLst>
            <c:ext xmlns:c16="http://schemas.microsoft.com/office/drawing/2014/chart" uri="{C3380CC4-5D6E-409C-BE32-E72D297353CC}">
              <c16:uniqueId val="{00000002-B52D-A74F-B9A6-60216BD70ABA}"/>
            </c:ext>
          </c:extLst>
        </c:ser>
        <c:ser>
          <c:idx val="3"/>
          <c:order val="3"/>
          <c:tx>
            <c:strRef>
              <c:f>'Forecast Drivers (2)'!$C$101</c:f>
              <c:strCache>
                <c:ptCount val="1"/>
                <c:pt idx="0">
                  <c:v>Jet Smart</c:v>
                </c:pt>
              </c:strCache>
            </c:strRef>
          </c:tx>
          <c:spPr>
            <a:solidFill>
              <a:schemeClr val="accent4"/>
            </a:solidFill>
            <a:ln>
              <a:noFill/>
            </a:ln>
            <a:effectLst/>
          </c:spPr>
          <c:invertIfNegative val="0"/>
          <c:cat>
            <c:strRef>
              <c:f>'Forecast Drivers (2)'!$E$6:$M$6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 (2)'!$E$101:$M$101</c:f>
              <c:numCache>
                <c:formatCode>0.00%</c:formatCode>
                <c:ptCount val="9"/>
                <c:pt idx="0">
                  <c:v>9.063947147346792E-3</c:v>
                </c:pt>
                <c:pt idx="1">
                  <c:v>1.5284203054478446E-2</c:v>
                </c:pt>
                <c:pt idx="2">
                  <c:v>1.101987646010901E-2</c:v>
                </c:pt>
                <c:pt idx="3">
                  <c:v>2.0714661143673568E-2</c:v>
                </c:pt>
                <c:pt idx="4">
                  <c:v>2.0714661143673568E-2</c:v>
                </c:pt>
                <c:pt idx="5">
                  <c:v>2.0714661143673568E-2</c:v>
                </c:pt>
                <c:pt idx="6">
                  <c:v>2.0714661143673568E-2</c:v>
                </c:pt>
                <c:pt idx="7">
                  <c:v>2.0714661143673568E-2</c:v>
                </c:pt>
                <c:pt idx="8">
                  <c:v>2.0714661143673568E-2</c:v>
                </c:pt>
              </c:numCache>
            </c:numRef>
          </c:val>
          <c:extLst>
            <c:ext xmlns:c16="http://schemas.microsoft.com/office/drawing/2014/chart" uri="{C3380CC4-5D6E-409C-BE32-E72D297353CC}">
              <c16:uniqueId val="{00000003-B52D-A74F-B9A6-60216BD70ABA}"/>
            </c:ext>
          </c:extLst>
        </c:ser>
        <c:ser>
          <c:idx val="4"/>
          <c:order val="4"/>
          <c:tx>
            <c:strRef>
              <c:f>'Forecast Drivers (2)'!$C$102</c:f>
              <c:strCache>
                <c:ptCount val="1"/>
                <c:pt idx="0">
                  <c:v>American Airlines</c:v>
                </c:pt>
              </c:strCache>
            </c:strRef>
          </c:tx>
          <c:spPr>
            <a:solidFill>
              <a:schemeClr val="accent5"/>
            </a:solidFill>
            <a:ln>
              <a:noFill/>
            </a:ln>
            <a:effectLst/>
          </c:spPr>
          <c:invertIfNegative val="0"/>
          <c:cat>
            <c:strRef>
              <c:f>'Forecast Drivers (2)'!$E$6:$M$6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 (2)'!$E$102:$M$102</c:f>
              <c:numCache>
                <c:formatCode>0.00%</c:formatCode>
                <c:ptCount val="9"/>
                <c:pt idx="0">
                  <c:v>4.3473239775088789E-2</c:v>
                </c:pt>
                <c:pt idx="1">
                  <c:v>5.0153805112029472E-2</c:v>
                </c:pt>
                <c:pt idx="2">
                  <c:v>0.12049698428529598</c:v>
                </c:pt>
                <c:pt idx="3">
                  <c:v>7.2666223502303451E-2</c:v>
                </c:pt>
                <c:pt idx="4">
                  <c:v>6.2666223502303456E-2</c:v>
                </c:pt>
                <c:pt idx="5">
                  <c:v>5.7666223502303458E-2</c:v>
                </c:pt>
                <c:pt idx="6">
                  <c:v>5.2666223502303461E-2</c:v>
                </c:pt>
                <c:pt idx="7">
                  <c:v>5.2666223502303461E-2</c:v>
                </c:pt>
                <c:pt idx="8">
                  <c:v>5.5166223502303463E-2</c:v>
                </c:pt>
              </c:numCache>
            </c:numRef>
          </c:val>
          <c:extLst>
            <c:ext xmlns:c16="http://schemas.microsoft.com/office/drawing/2014/chart" uri="{C3380CC4-5D6E-409C-BE32-E72D297353CC}">
              <c16:uniqueId val="{00000004-B52D-A74F-B9A6-60216BD70ABA}"/>
            </c:ext>
          </c:extLst>
        </c:ser>
        <c:ser>
          <c:idx val="5"/>
          <c:order val="5"/>
          <c:tx>
            <c:strRef>
              <c:f>'Forecast Drivers (2)'!$C$103</c:f>
              <c:strCache>
                <c:ptCount val="1"/>
                <c:pt idx="0">
                  <c:v>United Airlines</c:v>
                </c:pt>
              </c:strCache>
            </c:strRef>
          </c:tx>
          <c:spPr>
            <a:solidFill>
              <a:schemeClr val="accent6"/>
            </a:solidFill>
            <a:ln>
              <a:noFill/>
            </a:ln>
            <a:effectLst/>
          </c:spPr>
          <c:invertIfNegative val="0"/>
          <c:cat>
            <c:strRef>
              <c:f>'Forecast Drivers (2)'!$E$6:$M$6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 (2)'!$E$103:$M$103</c:f>
              <c:numCache>
                <c:formatCode>0.00%</c:formatCode>
                <c:ptCount val="9"/>
                <c:pt idx="0">
                  <c:v>2.2141815602371485E-2</c:v>
                </c:pt>
                <c:pt idx="1">
                  <c:v>2.572855439647579E-2</c:v>
                </c:pt>
                <c:pt idx="2">
                  <c:v>3.2756053007140427E-2</c:v>
                </c:pt>
                <c:pt idx="3">
                  <c:v>1.5392780763333424E-2</c:v>
                </c:pt>
                <c:pt idx="4">
                  <c:v>1.2892780763333424E-2</c:v>
                </c:pt>
                <c:pt idx="5">
                  <c:v>1.2892780763333424E-2</c:v>
                </c:pt>
                <c:pt idx="6">
                  <c:v>1.2892780763333424E-2</c:v>
                </c:pt>
                <c:pt idx="7">
                  <c:v>1.0392780763333423E-2</c:v>
                </c:pt>
                <c:pt idx="8">
                  <c:v>1.2892780763333424E-2</c:v>
                </c:pt>
              </c:numCache>
            </c:numRef>
          </c:val>
          <c:extLst>
            <c:ext xmlns:c16="http://schemas.microsoft.com/office/drawing/2014/chart" uri="{C3380CC4-5D6E-409C-BE32-E72D297353CC}">
              <c16:uniqueId val="{00000005-B52D-A74F-B9A6-60216BD70ABA}"/>
            </c:ext>
          </c:extLst>
        </c:ser>
        <c:ser>
          <c:idx val="6"/>
          <c:order val="6"/>
          <c:tx>
            <c:strRef>
              <c:f>'Forecast Drivers (2)'!$C$104</c:f>
              <c:strCache>
                <c:ptCount val="1"/>
                <c:pt idx="0">
                  <c:v>OTHERS</c:v>
                </c:pt>
              </c:strCache>
            </c:strRef>
          </c:tx>
          <c:spPr>
            <a:solidFill>
              <a:schemeClr val="accent1">
                <a:lumMod val="60000"/>
              </a:schemeClr>
            </a:solidFill>
            <a:ln>
              <a:noFill/>
            </a:ln>
            <a:effectLst/>
          </c:spPr>
          <c:invertIfNegative val="0"/>
          <c:cat>
            <c:strRef>
              <c:f>'Forecast Drivers (2)'!$E$6:$M$6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 (2)'!$E$104:$M$104</c:f>
              <c:numCache>
                <c:formatCode>0.00%</c:formatCode>
                <c:ptCount val="9"/>
                <c:pt idx="0">
                  <c:v>0.3893885768711306</c:v>
                </c:pt>
                <c:pt idx="1">
                  <c:v>0.39392970739128313</c:v>
                </c:pt>
                <c:pt idx="2">
                  <c:v>0.33647571857095726</c:v>
                </c:pt>
                <c:pt idx="3">
                  <c:v>0.26752329084908943</c:v>
                </c:pt>
                <c:pt idx="4">
                  <c:v>0.25002329084908942</c:v>
                </c:pt>
                <c:pt idx="5">
                  <c:v>0.24002329084908941</c:v>
                </c:pt>
                <c:pt idx="6">
                  <c:v>0.23502329084908941</c:v>
                </c:pt>
                <c:pt idx="7">
                  <c:v>0.20752329084908941</c:v>
                </c:pt>
                <c:pt idx="8">
                  <c:v>0.19252329084908942</c:v>
                </c:pt>
              </c:numCache>
            </c:numRef>
          </c:val>
          <c:extLst>
            <c:ext xmlns:c16="http://schemas.microsoft.com/office/drawing/2014/chart" uri="{C3380CC4-5D6E-409C-BE32-E72D297353CC}">
              <c16:uniqueId val="{00000006-B52D-A74F-B9A6-60216BD70ABA}"/>
            </c:ext>
          </c:extLst>
        </c:ser>
        <c:dLbls>
          <c:showLegendKey val="0"/>
          <c:showVal val="0"/>
          <c:showCatName val="0"/>
          <c:showSerName val="0"/>
          <c:showPercent val="0"/>
          <c:showBubbleSize val="0"/>
        </c:dLbls>
        <c:gapWidth val="150"/>
        <c:overlap val="100"/>
        <c:axId val="1517921135"/>
        <c:axId val="1300491231"/>
      </c:barChart>
      <c:catAx>
        <c:axId val="151792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300491231"/>
        <c:crosses val="autoZero"/>
        <c:auto val="1"/>
        <c:lblAlgn val="ctr"/>
        <c:lblOffset val="100"/>
        <c:noMultiLvlLbl val="0"/>
      </c:catAx>
      <c:valAx>
        <c:axId val="13004912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517921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Latam</a:t>
            </a:r>
            <a:r>
              <a:rPr lang="it-IT" baseline="0"/>
              <a:t> market Share</a:t>
            </a:r>
            <a:endParaRPr lang="it-IT"/>
          </a:p>
        </c:rich>
      </c:tx>
      <c:layout>
        <c:manualLayout>
          <c:xMode val="edge"/>
          <c:yMode val="edge"/>
          <c:x val="0.3626041119860017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spPr>
            <a:ln w="28575" cap="rnd">
              <a:solidFill>
                <a:schemeClr val="accent1"/>
              </a:solidFill>
              <a:round/>
            </a:ln>
            <a:effectLst/>
          </c:spPr>
          <c:marker>
            <c:symbol val="none"/>
          </c:marker>
          <c:cat>
            <c:strRef>
              <c:f>'Forecast Drivers (2)'!$E$6:$M$6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 (2)'!$E$106:$M$106</c:f>
              <c:numCache>
                <c:formatCode>0.00%</c:formatCode>
                <c:ptCount val="9"/>
                <c:pt idx="0">
                  <c:v>0.29948472843786472</c:v>
                </c:pt>
                <c:pt idx="1">
                  <c:v>0.29264907183364613</c:v>
                </c:pt>
                <c:pt idx="2">
                  <c:v>0.27591978982612236</c:v>
                </c:pt>
                <c:pt idx="3">
                  <c:v>0.18004990232795459</c:v>
                </c:pt>
                <c:pt idx="4">
                  <c:v>0.18764016587816146</c:v>
                </c:pt>
                <c:pt idx="5">
                  <c:v>0.25163509390296956</c:v>
                </c:pt>
                <c:pt idx="6">
                  <c:v>0.27906149162788735</c:v>
                </c:pt>
                <c:pt idx="7">
                  <c:v>0.27906149162788735</c:v>
                </c:pt>
                <c:pt idx="8">
                  <c:v>0.27906149162788735</c:v>
                </c:pt>
              </c:numCache>
            </c:numRef>
          </c:val>
          <c:smooth val="0"/>
          <c:extLst>
            <c:ext xmlns:c16="http://schemas.microsoft.com/office/drawing/2014/chart" uri="{C3380CC4-5D6E-409C-BE32-E72D297353CC}">
              <c16:uniqueId val="{00000000-DDAD-BE41-9563-2D824D310D44}"/>
            </c:ext>
          </c:extLst>
        </c:ser>
        <c:dLbls>
          <c:showLegendKey val="0"/>
          <c:showVal val="0"/>
          <c:showCatName val="0"/>
          <c:showSerName val="0"/>
          <c:showPercent val="0"/>
          <c:showBubbleSize val="0"/>
        </c:dLbls>
        <c:smooth val="0"/>
        <c:axId val="966519152"/>
        <c:axId val="1319370783"/>
      </c:lineChart>
      <c:catAx>
        <c:axId val="96651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319370783"/>
        <c:crosses val="autoZero"/>
        <c:auto val="1"/>
        <c:lblAlgn val="ctr"/>
        <c:lblOffset val="100"/>
        <c:noMultiLvlLbl val="0"/>
      </c:catAx>
      <c:valAx>
        <c:axId val="13193707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966519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Latam</a:t>
            </a:r>
            <a:r>
              <a:rPr lang="it-IT" baseline="0"/>
              <a:t> International Passengers</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spPr>
            <a:ln w="28575" cap="rnd">
              <a:solidFill>
                <a:schemeClr val="accent1"/>
              </a:solidFill>
              <a:round/>
            </a:ln>
            <a:effectLst/>
          </c:spPr>
          <c:marker>
            <c:symbol val="none"/>
          </c:marker>
          <c:cat>
            <c:strRef>
              <c:f>'Forecast Drivers (2)'!$E$6:$M$6</c:f>
              <c:strCache>
                <c:ptCount val="9"/>
                <c:pt idx="0">
                  <c:v>2019</c:v>
                </c:pt>
                <c:pt idx="1">
                  <c:v>2020</c:v>
                </c:pt>
                <c:pt idx="2">
                  <c:v>2021</c:v>
                </c:pt>
                <c:pt idx="3">
                  <c:v>2022E</c:v>
                </c:pt>
                <c:pt idx="4">
                  <c:v>2023F</c:v>
                </c:pt>
                <c:pt idx="5">
                  <c:v>2024F</c:v>
                </c:pt>
                <c:pt idx="6">
                  <c:v>2025F</c:v>
                </c:pt>
                <c:pt idx="7">
                  <c:v>2026F</c:v>
                </c:pt>
                <c:pt idx="8">
                  <c:v>2027F</c:v>
                </c:pt>
              </c:strCache>
            </c:strRef>
          </c:cat>
          <c:val>
            <c:numRef>
              <c:f>'Forecast Drivers (2)'!$E$113:$M$113</c:f>
              <c:numCache>
                <c:formatCode>#,##0</c:formatCode>
                <c:ptCount val="9"/>
                <c:pt idx="0">
                  <c:v>18481071</c:v>
                </c:pt>
                <c:pt idx="1">
                  <c:v>4695683</c:v>
                </c:pt>
                <c:pt idx="2">
                  <c:v>3327268</c:v>
                </c:pt>
                <c:pt idx="3">
                  <c:v>4623378.3809846593</c:v>
                </c:pt>
                <c:pt idx="4">
                  <c:v>11918249.067152288</c:v>
                </c:pt>
                <c:pt idx="5">
                  <c:v>17623002.211579014</c:v>
                </c:pt>
                <c:pt idx="6">
                  <c:v>18920578.547308117</c:v>
                </c:pt>
                <c:pt idx="7">
                  <c:v>20313695.037139785</c:v>
                </c:pt>
                <c:pt idx="8">
                  <c:v>21809386.273794774</c:v>
                </c:pt>
              </c:numCache>
            </c:numRef>
          </c:val>
          <c:smooth val="0"/>
          <c:extLst>
            <c:ext xmlns:c16="http://schemas.microsoft.com/office/drawing/2014/chart" uri="{C3380CC4-5D6E-409C-BE32-E72D297353CC}">
              <c16:uniqueId val="{00000000-39DE-9A49-A314-89749F901ACE}"/>
            </c:ext>
          </c:extLst>
        </c:ser>
        <c:dLbls>
          <c:showLegendKey val="0"/>
          <c:showVal val="0"/>
          <c:showCatName val="0"/>
          <c:showSerName val="0"/>
          <c:showPercent val="0"/>
          <c:showBubbleSize val="0"/>
        </c:dLbls>
        <c:smooth val="0"/>
        <c:axId val="1592424847"/>
        <c:axId val="1303620559"/>
      </c:lineChart>
      <c:catAx>
        <c:axId val="159242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303620559"/>
        <c:crosses val="autoZero"/>
        <c:auto val="1"/>
        <c:lblAlgn val="ctr"/>
        <c:lblOffset val="100"/>
        <c:noMultiLvlLbl val="0"/>
      </c:catAx>
      <c:valAx>
        <c:axId val="13036205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592424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tx>
            <c:v>NOI</c:v>
          </c:tx>
          <c:spPr>
            <a:ln w="28575" cap="rnd">
              <a:solidFill>
                <a:schemeClr val="accent1"/>
              </a:solidFill>
              <a:round/>
            </a:ln>
            <a:effectLst/>
          </c:spPr>
          <c:marker>
            <c:symbol val="none"/>
          </c:marker>
          <c:cat>
            <c:strRef>
              <c:f>'Forecast Drivers (2)'!$H$6:$M$6</c:f>
              <c:strCache>
                <c:ptCount val="6"/>
                <c:pt idx="0">
                  <c:v>2022E</c:v>
                </c:pt>
                <c:pt idx="1">
                  <c:v>2023F</c:v>
                </c:pt>
                <c:pt idx="2">
                  <c:v>2024F</c:v>
                </c:pt>
                <c:pt idx="3">
                  <c:v>2025F</c:v>
                </c:pt>
                <c:pt idx="4">
                  <c:v>2026F</c:v>
                </c:pt>
                <c:pt idx="5">
                  <c:v>2027F</c:v>
                </c:pt>
              </c:strCache>
            </c:strRef>
          </c:cat>
          <c:val>
            <c:numRef>
              <c:f>'Forecast Drivers (2)'!$H$125:$M$125</c:f>
              <c:numCache>
                <c:formatCode>#,##0</c:formatCode>
                <c:ptCount val="6"/>
                <c:pt idx="0">
                  <c:v>6935.7645708855498</c:v>
                </c:pt>
                <c:pt idx="1">
                  <c:v>9583.6683809691385</c:v>
                </c:pt>
                <c:pt idx="2">
                  <c:v>11830.479346809856</c:v>
                </c:pt>
                <c:pt idx="3">
                  <c:v>12406.79164587545</c:v>
                </c:pt>
                <c:pt idx="4">
                  <c:v>12992.718911316868</c:v>
                </c:pt>
                <c:pt idx="5">
                  <c:v>13632.932490961392</c:v>
                </c:pt>
              </c:numCache>
            </c:numRef>
          </c:val>
          <c:smooth val="0"/>
          <c:extLst>
            <c:ext xmlns:c16="http://schemas.microsoft.com/office/drawing/2014/chart" uri="{C3380CC4-5D6E-409C-BE32-E72D297353CC}">
              <c16:uniqueId val="{00000003-4DCA-B743-A52D-F5CA8E8114D7}"/>
            </c:ext>
          </c:extLst>
        </c:ser>
        <c:ser>
          <c:idx val="1"/>
          <c:order val="1"/>
          <c:tx>
            <c:v>LATAM</c:v>
          </c:tx>
          <c:spPr>
            <a:ln w="28575" cap="rnd">
              <a:solidFill>
                <a:schemeClr val="accent2"/>
              </a:solidFill>
              <a:round/>
            </a:ln>
            <a:effectLst/>
          </c:spPr>
          <c:marker>
            <c:symbol val="none"/>
          </c:marker>
          <c:cat>
            <c:strRef>
              <c:f>'Forecast Drivers (2)'!$H$6:$M$6</c:f>
              <c:strCache>
                <c:ptCount val="6"/>
                <c:pt idx="0">
                  <c:v>2022E</c:v>
                </c:pt>
                <c:pt idx="1">
                  <c:v>2023F</c:v>
                </c:pt>
                <c:pt idx="2">
                  <c:v>2024F</c:v>
                </c:pt>
                <c:pt idx="3">
                  <c:v>2025F</c:v>
                </c:pt>
                <c:pt idx="4">
                  <c:v>2026F</c:v>
                </c:pt>
                <c:pt idx="5">
                  <c:v>2027F</c:v>
                </c:pt>
              </c:strCache>
            </c:strRef>
          </c:cat>
          <c:val>
            <c:numRef>
              <c:f>'Forecast Drivers (2)'!$H$127:$M$127</c:f>
              <c:numCache>
                <c:formatCode>General</c:formatCode>
                <c:ptCount val="6"/>
                <c:pt idx="0">
                  <c:v>9654</c:v>
                </c:pt>
                <c:pt idx="1">
                  <c:v>11458</c:v>
                </c:pt>
                <c:pt idx="2">
                  <c:v>11407</c:v>
                </c:pt>
                <c:pt idx="3">
                  <c:v>12252</c:v>
                </c:pt>
                <c:pt idx="4">
                  <c:v>13069</c:v>
                </c:pt>
                <c:pt idx="5">
                  <c:v>13853</c:v>
                </c:pt>
              </c:numCache>
            </c:numRef>
          </c:val>
          <c:smooth val="0"/>
          <c:extLst>
            <c:ext xmlns:c16="http://schemas.microsoft.com/office/drawing/2014/chart" uri="{C3380CC4-5D6E-409C-BE32-E72D297353CC}">
              <c16:uniqueId val="{00000004-4DCA-B743-A52D-F5CA8E8114D7}"/>
            </c:ext>
          </c:extLst>
        </c:ser>
        <c:dLbls>
          <c:showLegendKey val="0"/>
          <c:showVal val="0"/>
          <c:showCatName val="0"/>
          <c:showSerName val="0"/>
          <c:showPercent val="0"/>
          <c:showBubbleSize val="0"/>
        </c:dLbls>
        <c:smooth val="0"/>
        <c:axId val="1291999231"/>
        <c:axId val="1292466767"/>
      </c:lineChart>
      <c:catAx>
        <c:axId val="129199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292466767"/>
        <c:crosses val="autoZero"/>
        <c:auto val="1"/>
        <c:lblAlgn val="ctr"/>
        <c:lblOffset val="100"/>
        <c:noMultiLvlLbl val="0"/>
      </c:catAx>
      <c:valAx>
        <c:axId val="12924667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29199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421981627296588"/>
          <c:y val="0.10648148148148148"/>
          <c:w val="0.84522462817147859"/>
          <c:h val="0.73668926800816559"/>
        </c:manualLayout>
      </c:layout>
      <c:barChart>
        <c:barDir val="col"/>
        <c:grouping val="clustered"/>
        <c:varyColors val="0"/>
        <c:ser>
          <c:idx val="0"/>
          <c:order val="0"/>
          <c:tx>
            <c:strRef>
              <c:f>'Multiples (4) Graphs'!$B$3</c:f>
              <c:strCache>
                <c:ptCount val="1"/>
                <c:pt idx="0">
                  <c:v>Emerging markets</c:v>
                </c:pt>
              </c:strCache>
            </c:strRef>
          </c:tx>
          <c:spPr>
            <a:solidFill>
              <a:schemeClr val="accent1"/>
            </a:solidFill>
            <a:ln>
              <a:noFill/>
            </a:ln>
            <a:effectLst/>
          </c:spPr>
          <c:invertIfNegative val="0"/>
          <c:cat>
            <c:strRef>
              <c:f>'Multiples (4) Graphs'!$C$1:$H$2</c:f>
              <c:strCache>
                <c:ptCount val="6"/>
                <c:pt idx="0">
                  <c:v>Mean Last Fiscal year</c:v>
                </c:pt>
                <c:pt idx="1">
                  <c:v>Mean LTM</c:v>
                </c:pt>
                <c:pt idx="2">
                  <c:v>Mean NTM</c:v>
                </c:pt>
                <c:pt idx="3">
                  <c:v>Median Last fiscal Year</c:v>
                </c:pt>
                <c:pt idx="4">
                  <c:v>Median LTM</c:v>
                </c:pt>
                <c:pt idx="5">
                  <c:v>Median NTM</c:v>
                </c:pt>
              </c:strCache>
            </c:strRef>
          </c:cat>
          <c:val>
            <c:numRef>
              <c:f>'Multiples (4) Graphs'!$C$3:$H$3</c:f>
              <c:numCache>
                <c:formatCode>#,##0.00\x;\(#,##0.00\)\x</c:formatCode>
                <c:ptCount val="6"/>
                <c:pt idx="0">
                  <c:v>-17.349186626685206</c:v>
                </c:pt>
                <c:pt idx="1">
                  <c:v>15.343474285490842</c:v>
                </c:pt>
                <c:pt idx="2">
                  <c:v>4.2277137312183601</c:v>
                </c:pt>
                <c:pt idx="3">
                  <c:v>10.487588803326579</c:v>
                </c:pt>
                <c:pt idx="4">
                  <c:v>12.307820798186301</c:v>
                </c:pt>
                <c:pt idx="5">
                  <c:v>4.9335805387383544</c:v>
                </c:pt>
              </c:numCache>
            </c:numRef>
          </c:val>
          <c:extLst>
            <c:ext xmlns:c16="http://schemas.microsoft.com/office/drawing/2014/chart" uri="{C3380CC4-5D6E-409C-BE32-E72D297353CC}">
              <c16:uniqueId val="{00000000-5C96-4FA8-BA28-7865DD445644}"/>
            </c:ext>
          </c:extLst>
        </c:ser>
        <c:ser>
          <c:idx val="1"/>
          <c:order val="1"/>
          <c:tx>
            <c:strRef>
              <c:f>'Multiples (4) Graphs'!$B$4</c:f>
              <c:strCache>
                <c:ptCount val="1"/>
                <c:pt idx="0">
                  <c:v>USA</c:v>
                </c:pt>
              </c:strCache>
            </c:strRef>
          </c:tx>
          <c:spPr>
            <a:solidFill>
              <a:schemeClr val="accent2"/>
            </a:solidFill>
            <a:ln>
              <a:noFill/>
            </a:ln>
            <a:effectLst/>
          </c:spPr>
          <c:invertIfNegative val="0"/>
          <c:cat>
            <c:strRef>
              <c:f>'Multiples (4) Graphs'!$C$1:$H$2</c:f>
              <c:strCache>
                <c:ptCount val="6"/>
                <c:pt idx="0">
                  <c:v>Mean Last Fiscal year</c:v>
                </c:pt>
                <c:pt idx="1">
                  <c:v>Mean LTM</c:v>
                </c:pt>
                <c:pt idx="2">
                  <c:v>Mean NTM</c:v>
                </c:pt>
                <c:pt idx="3">
                  <c:v>Median Last fiscal Year</c:v>
                </c:pt>
                <c:pt idx="4">
                  <c:v>Median LTM</c:v>
                </c:pt>
                <c:pt idx="5">
                  <c:v>Median NTM</c:v>
                </c:pt>
              </c:strCache>
            </c:strRef>
          </c:cat>
          <c:val>
            <c:numRef>
              <c:f>'Multiples (4) Graphs'!$C$4:$H$4</c:f>
              <c:numCache>
                <c:formatCode>#,##0.00\x;\(#,##0.00\)\x</c:formatCode>
                <c:ptCount val="6"/>
                <c:pt idx="0">
                  <c:v>61.199174270334446</c:v>
                </c:pt>
                <c:pt idx="1">
                  <c:v>12.559939669501571</c:v>
                </c:pt>
                <c:pt idx="2">
                  <c:v>5.4989663824109467</c:v>
                </c:pt>
                <c:pt idx="3">
                  <c:v>-13.765111576886568</c:v>
                </c:pt>
                <c:pt idx="4">
                  <c:v>8.9626995737837394</c:v>
                </c:pt>
                <c:pt idx="5">
                  <c:v>5.3708711964945399</c:v>
                </c:pt>
              </c:numCache>
            </c:numRef>
          </c:val>
          <c:extLst>
            <c:ext xmlns:c16="http://schemas.microsoft.com/office/drawing/2014/chart" uri="{C3380CC4-5D6E-409C-BE32-E72D297353CC}">
              <c16:uniqueId val="{00000001-5C96-4FA8-BA28-7865DD445644}"/>
            </c:ext>
          </c:extLst>
        </c:ser>
        <c:ser>
          <c:idx val="2"/>
          <c:order val="2"/>
          <c:tx>
            <c:strRef>
              <c:f>'Multiples (4) Graphs'!$B$5</c:f>
              <c:strCache>
                <c:ptCount val="1"/>
                <c:pt idx="0">
                  <c:v>Other</c:v>
                </c:pt>
              </c:strCache>
            </c:strRef>
          </c:tx>
          <c:spPr>
            <a:solidFill>
              <a:schemeClr val="accent3"/>
            </a:solidFill>
            <a:ln>
              <a:noFill/>
            </a:ln>
            <a:effectLst/>
          </c:spPr>
          <c:invertIfNegative val="0"/>
          <c:cat>
            <c:strRef>
              <c:f>'Multiples (4) Graphs'!$C$1:$H$2</c:f>
              <c:strCache>
                <c:ptCount val="6"/>
                <c:pt idx="0">
                  <c:v>Mean Last Fiscal year</c:v>
                </c:pt>
                <c:pt idx="1">
                  <c:v>Mean LTM</c:v>
                </c:pt>
                <c:pt idx="2">
                  <c:v>Mean NTM</c:v>
                </c:pt>
                <c:pt idx="3">
                  <c:v>Median Last fiscal Year</c:v>
                </c:pt>
                <c:pt idx="4">
                  <c:v>Median LTM</c:v>
                </c:pt>
                <c:pt idx="5">
                  <c:v>Median NTM</c:v>
                </c:pt>
              </c:strCache>
            </c:strRef>
          </c:cat>
          <c:val>
            <c:numRef>
              <c:f>'Multiples (4) Graphs'!$C$5:$H$5</c:f>
              <c:numCache>
                <c:formatCode>#,##0.00\x;\(#,##0.00\)\x</c:formatCode>
                <c:ptCount val="6"/>
                <c:pt idx="0">
                  <c:v>22.193269959719988</c:v>
                </c:pt>
                <c:pt idx="1">
                  <c:v>6.5115459624187126</c:v>
                </c:pt>
                <c:pt idx="2">
                  <c:v>4.7802315749902586</c:v>
                </c:pt>
                <c:pt idx="3">
                  <c:v>13.596286998082601</c:v>
                </c:pt>
                <c:pt idx="4">
                  <c:v>5.0369282694230648</c:v>
                </c:pt>
                <c:pt idx="5">
                  <c:v>4.6626648897493999</c:v>
                </c:pt>
              </c:numCache>
            </c:numRef>
          </c:val>
          <c:extLst>
            <c:ext xmlns:c16="http://schemas.microsoft.com/office/drawing/2014/chart" uri="{C3380CC4-5D6E-409C-BE32-E72D297353CC}">
              <c16:uniqueId val="{00000002-5C96-4FA8-BA28-7865DD445644}"/>
            </c:ext>
          </c:extLst>
        </c:ser>
        <c:dLbls>
          <c:showLegendKey val="0"/>
          <c:showVal val="0"/>
          <c:showCatName val="0"/>
          <c:showSerName val="0"/>
          <c:showPercent val="0"/>
          <c:showBubbleSize val="0"/>
        </c:dLbls>
        <c:gapWidth val="219"/>
        <c:overlap val="-27"/>
        <c:axId val="520773823"/>
        <c:axId val="520777151"/>
      </c:barChart>
      <c:catAx>
        <c:axId val="52077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520777151"/>
        <c:crosses val="autoZero"/>
        <c:auto val="1"/>
        <c:lblAlgn val="ctr"/>
        <c:lblOffset val="100"/>
        <c:noMultiLvlLbl val="0"/>
      </c:catAx>
      <c:valAx>
        <c:axId val="520777151"/>
        <c:scaling>
          <c:orientation val="minMax"/>
        </c:scaling>
        <c:delete val="0"/>
        <c:axPos val="l"/>
        <c:majorGridlines>
          <c:spPr>
            <a:ln w="9525" cap="flat" cmpd="sng" algn="ctr">
              <a:solidFill>
                <a:schemeClr val="tx1">
                  <a:lumMod val="15000"/>
                  <a:lumOff val="85000"/>
                </a:schemeClr>
              </a:solidFill>
              <a:round/>
            </a:ln>
            <a:effectLst/>
          </c:spPr>
        </c:majorGridlines>
        <c:numFmt formatCode="#,##0.00\x;\(#,##0.00\)\x"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520773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'Multiples (4) Graphs'!$K$3</c:f>
              <c:strCache>
                <c:ptCount val="1"/>
                <c:pt idx="0">
                  <c:v>Emerging markets</c:v>
                </c:pt>
              </c:strCache>
            </c:strRef>
          </c:tx>
          <c:spPr>
            <a:solidFill>
              <a:schemeClr val="accent1"/>
            </a:solidFill>
            <a:ln>
              <a:noFill/>
            </a:ln>
            <a:effectLst/>
          </c:spPr>
          <c:invertIfNegative val="0"/>
          <c:cat>
            <c:strRef>
              <c:f>'Multiples (4) Graphs'!$L$1:$Q$2</c:f>
              <c:strCache>
                <c:ptCount val="6"/>
                <c:pt idx="0">
                  <c:v>Mean Last Fiscal year</c:v>
                </c:pt>
                <c:pt idx="1">
                  <c:v>Mean LTM</c:v>
                </c:pt>
                <c:pt idx="2">
                  <c:v>Mean NTM</c:v>
                </c:pt>
                <c:pt idx="3">
                  <c:v>Median Last fiscal Year</c:v>
                </c:pt>
                <c:pt idx="4">
                  <c:v>Median LTM</c:v>
                </c:pt>
                <c:pt idx="5">
                  <c:v>Median NTM</c:v>
                </c:pt>
              </c:strCache>
            </c:strRef>
          </c:cat>
          <c:val>
            <c:numRef>
              <c:f>'Multiples (4) Graphs'!$L$3:$Q$3</c:f>
              <c:numCache>
                <c:formatCode>#,##0.00\x;\(#,##0.00\)\x</c:formatCode>
                <c:ptCount val="6"/>
                <c:pt idx="0">
                  <c:v>2.4268050329972248</c:v>
                </c:pt>
                <c:pt idx="1">
                  <c:v>1.4666252082167179</c:v>
                </c:pt>
                <c:pt idx="2">
                  <c:v>0.95363551276874547</c:v>
                </c:pt>
                <c:pt idx="3">
                  <c:v>2.6842716863883185</c:v>
                </c:pt>
                <c:pt idx="4">
                  <c:v>1.2937510210496299</c:v>
                </c:pt>
                <c:pt idx="5">
                  <c:v>1.1857791097832751</c:v>
                </c:pt>
              </c:numCache>
            </c:numRef>
          </c:val>
          <c:extLst>
            <c:ext xmlns:c16="http://schemas.microsoft.com/office/drawing/2014/chart" uri="{C3380CC4-5D6E-409C-BE32-E72D297353CC}">
              <c16:uniqueId val="{00000000-12AE-4AA0-B80E-90B44998207C}"/>
            </c:ext>
          </c:extLst>
        </c:ser>
        <c:ser>
          <c:idx val="1"/>
          <c:order val="1"/>
          <c:tx>
            <c:strRef>
              <c:f>'Multiples (4) Graphs'!$K$4</c:f>
              <c:strCache>
                <c:ptCount val="1"/>
                <c:pt idx="0">
                  <c:v>USA</c:v>
                </c:pt>
              </c:strCache>
            </c:strRef>
          </c:tx>
          <c:spPr>
            <a:solidFill>
              <a:schemeClr val="accent2"/>
            </a:solidFill>
            <a:ln>
              <a:noFill/>
            </a:ln>
            <a:effectLst/>
          </c:spPr>
          <c:invertIfNegative val="0"/>
          <c:cat>
            <c:strRef>
              <c:f>'Multiples (4) Graphs'!$L$1:$Q$2</c:f>
              <c:strCache>
                <c:ptCount val="6"/>
                <c:pt idx="0">
                  <c:v>Mean Last Fiscal year</c:v>
                </c:pt>
                <c:pt idx="1">
                  <c:v>Mean LTM</c:v>
                </c:pt>
                <c:pt idx="2">
                  <c:v>Mean NTM</c:v>
                </c:pt>
                <c:pt idx="3">
                  <c:v>Median Last fiscal Year</c:v>
                </c:pt>
                <c:pt idx="4">
                  <c:v>Median LTM</c:v>
                </c:pt>
                <c:pt idx="5">
                  <c:v>Median NTM</c:v>
                </c:pt>
              </c:strCache>
            </c:strRef>
          </c:cat>
          <c:val>
            <c:numRef>
              <c:f>'Multiples (4) Graphs'!$L$4:$Q$4</c:f>
              <c:numCache>
                <c:formatCode>#,##0.00\x;\(#,##0.00\)\x</c:formatCode>
                <c:ptCount val="6"/>
                <c:pt idx="0">
                  <c:v>1.3505174944111402</c:v>
                </c:pt>
                <c:pt idx="1">
                  <c:v>0.79068972107074431</c:v>
                </c:pt>
                <c:pt idx="2">
                  <c:v>0.70144003834362501</c:v>
                </c:pt>
                <c:pt idx="3">
                  <c:v>1.2751299735332957</c:v>
                </c:pt>
                <c:pt idx="4">
                  <c:v>0.77467230564315004</c:v>
                </c:pt>
                <c:pt idx="5">
                  <c:v>0.69136831660623499</c:v>
                </c:pt>
              </c:numCache>
            </c:numRef>
          </c:val>
          <c:extLst>
            <c:ext xmlns:c16="http://schemas.microsoft.com/office/drawing/2014/chart" uri="{C3380CC4-5D6E-409C-BE32-E72D297353CC}">
              <c16:uniqueId val="{00000001-12AE-4AA0-B80E-90B44998207C}"/>
            </c:ext>
          </c:extLst>
        </c:ser>
        <c:ser>
          <c:idx val="2"/>
          <c:order val="2"/>
          <c:tx>
            <c:strRef>
              <c:f>'Multiples (4) Graphs'!$K$5</c:f>
              <c:strCache>
                <c:ptCount val="1"/>
                <c:pt idx="0">
                  <c:v>Other</c:v>
                </c:pt>
              </c:strCache>
            </c:strRef>
          </c:tx>
          <c:spPr>
            <a:solidFill>
              <a:schemeClr val="accent3"/>
            </a:solidFill>
            <a:ln>
              <a:noFill/>
            </a:ln>
            <a:effectLst/>
          </c:spPr>
          <c:invertIfNegative val="0"/>
          <c:cat>
            <c:strRef>
              <c:f>'Multiples (4) Graphs'!$L$1:$Q$2</c:f>
              <c:strCache>
                <c:ptCount val="6"/>
                <c:pt idx="0">
                  <c:v>Mean Last Fiscal year</c:v>
                </c:pt>
                <c:pt idx="1">
                  <c:v>Mean LTM</c:v>
                </c:pt>
                <c:pt idx="2">
                  <c:v>Mean NTM</c:v>
                </c:pt>
                <c:pt idx="3">
                  <c:v>Median Last fiscal Year</c:v>
                </c:pt>
                <c:pt idx="4">
                  <c:v>Median LTM</c:v>
                </c:pt>
                <c:pt idx="5">
                  <c:v>Median NTM</c:v>
                </c:pt>
              </c:strCache>
            </c:strRef>
          </c:cat>
          <c:val>
            <c:numRef>
              <c:f>'Multiples (4) Graphs'!$L$5:$Q$5</c:f>
              <c:numCache>
                <c:formatCode>#,##0.00\x;\(#,##0.00\)\x</c:formatCode>
                <c:ptCount val="6"/>
                <c:pt idx="0">
                  <c:v>1.5538575040795759</c:v>
                </c:pt>
                <c:pt idx="1">
                  <c:v>1.1139755015226127</c:v>
                </c:pt>
                <c:pt idx="2">
                  <c:v>0.91599033967851429</c:v>
                </c:pt>
                <c:pt idx="3">
                  <c:v>1.2610462234833839</c:v>
                </c:pt>
                <c:pt idx="4">
                  <c:v>0.79872423895167555</c:v>
                </c:pt>
                <c:pt idx="5">
                  <c:v>1.0613063143928501</c:v>
                </c:pt>
              </c:numCache>
            </c:numRef>
          </c:val>
          <c:extLst>
            <c:ext xmlns:c16="http://schemas.microsoft.com/office/drawing/2014/chart" uri="{C3380CC4-5D6E-409C-BE32-E72D297353CC}">
              <c16:uniqueId val="{00000002-12AE-4AA0-B80E-90B44998207C}"/>
            </c:ext>
          </c:extLst>
        </c:ser>
        <c:dLbls>
          <c:showLegendKey val="0"/>
          <c:showVal val="0"/>
          <c:showCatName val="0"/>
          <c:showSerName val="0"/>
          <c:showPercent val="0"/>
          <c:showBubbleSize val="0"/>
        </c:dLbls>
        <c:gapWidth val="219"/>
        <c:overlap val="-27"/>
        <c:axId val="942159311"/>
        <c:axId val="942156399"/>
      </c:barChart>
      <c:catAx>
        <c:axId val="94215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942156399"/>
        <c:crosses val="autoZero"/>
        <c:auto val="1"/>
        <c:lblAlgn val="ctr"/>
        <c:lblOffset val="100"/>
        <c:noMultiLvlLbl val="0"/>
      </c:catAx>
      <c:valAx>
        <c:axId val="942156399"/>
        <c:scaling>
          <c:orientation val="minMax"/>
        </c:scaling>
        <c:delete val="0"/>
        <c:axPos val="l"/>
        <c:majorGridlines>
          <c:spPr>
            <a:ln w="9525" cap="flat" cmpd="sng" algn="ctr">
              <a:solidFill>
                <a:schemeClr val="tx1">
                  <a:lumMod val="15000"/>
                  <a:lumOff val="85000"/>
                </a:schemeClr>
              </a:solidFill>
              <a:round/>
            </a:ln>
            <a:effectLst/>
          </c:spPr>
        </c:majorGridlines>
        <c:numFmt formatCode="#,##0.00\x;\(#,##0.00\)\x"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942159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'Multiples (4) Graphs'!$T$3</c:f>
              <c:strCache>
                <c:ptCount val="1"/>
                <c:pt idx="0">
                  <c:v>Emerging markets</c:v>
                </c:pt>
              </c:strCache>
            </c:strRef>
          </c:tx>
          <c:spPr>
            <a:solidFill>
              <a:schemeClr val="accent1"/>
            </a:solidFill>
            <a:ln>
              <a:noFill/>
            </a:ln>
            <a:effectLst/>
          </c:spPr>
          <c:invertIfNegative val="0"/>
          <c:cat>
            <c:strRef>
              <c:f>'Multiples (4) Graphs'!$U$1:$X$2</c:f>
              <c:strCache>
                <c:ptCount val="4"/>
                <c:pt idx="0">
                  <c:v>Mean Last Fiscal year</c:v>
                </c:pt>
                <c:pt idx="1">
                  <c:v>Mean LTM</c:v>
                </c:pt>
                <c:pt idx="2">
                  <c:v>Median Last fiscal Year</c:v>
                </c:pt>
                <c:pt idx="3">
                  <c:v>Median LTM</c:v>
                </c:pt>
              </c:strCache>
            </c:strRef>
          </c:cat>
          <c:val>
            <c:numRef>
              <c:f>'Multiples (4) Graphs'!$U$3:$X$3</c:f>
              <c:numCache>
                <c:formatCode>#,##0.00\x;\(#,##0.00\)\x</c:formatCode>
                <c:ptCount val="4"/>
                <c:pt idx="0">
                  <c:v>34.906169407643539</c:v>
                </c:pt>
                <c:pt idx="1">
                  <c:v>11.5200388976337</c:v>
                </c:pt>
                <c:pt idx="2">
                  <c:v>18.478716607306733</c:v>
                </c:pt>
                <c:pt idx="3">
                  <c:v>11.5200388976337</c:v>
                </c:pt>
              </c:numCache>
            </c:numRef>
          </c:val>
          <c:extLst>
            <c:ext xmlns:c16="http://schemas.microsoft.com/office/drawing/2014/chart" uri="{C3380CC4-5D6E-409C-BE32-E72D297353CC}">
              <c16:uniqueId val="{00000000-03E4-499A-91B0-F24FBB11359B}"/>
            </c:ext>
          </c:extLst>
        </c:ser>
        <c:ser>
          <c:idx val="1"/>
          <c:order val="1"/>
          <c:tx>
            <c:strRef>
              <c:f>'Multiples (4) Graphs'!$T$4</c:f>
              <c:strCache>
                <c:ptCount val="1"/>
                <c:pt idx="0">
                  <c:v>USA</c:v>
                </c:pt>
              </c:strCache>
            </c:strRef>
          </c:tx>
          <c:spPr>
            <a:solidFill>
              <a:schemeClr val="accent2"/>
            </a:solidFill>
            <a:ln>
              <a:noFill/>
            </a:ln>
            <a:effectLst/>
          </c:spPr>
          <c:invertIfNegative val="0"/>
          <c:cat>
            <c:strRef>
              <c:f>'Multiples (4) Graphs'!$U$1:$X$2</c:f>
              <c:strCache>
                <c:ptCount val="4"/>
                <c:pt idx="0">
                  <c:v>Mean Last Fiscal year</c:v>
                </c:pt>
                <c:pt idx="1">
                  <c:v>Mean LTM</c:v>
                </c:pt>
                <c:pt idx="2">
                  <c:v>Median Last fiscal Year</c:v>
                </c:pt>
                <c:pt idx="3">
                  <c:v>Median LTM</c:v>
                </c:pt>
              </c:strCache>
            </c:strRef>
          </c:cat>
          <c:val>
            <c:numRef>
              <c:f>'Multiples (4) Graphs'!$U$4:$X$4</c:f>
              <c:numCache>
                <c:formatCode>#,##0.00\x;\(#,##0.00\)\x</c:formatCode>
                <c:ptCount val="4"/>
                <c:pt idx="0">
                  <c:v>13.659963978796588</c:v>
                </c:pt>
                <c:pt idx="1">
                  <c:v>164.95269433305646</c:v>
                </c:pt>
                <c:pt idx="2">
                  <c:v>8.221932837455677</c:v>
                </c:pt>
                <c:pt idx="3">
                  <c:v>164.95269433305646</c:v>
                </c:pt>
              </c:numCache>
            </c:numRef>
          </c:val>
          <c:extLst>
            <c:ext xmlns:c16="http://schemas.microsoft.com/office/drawing/2014/chart" uri="{C3380CC4-5D6E-409C-BE32-E72D297353CC}">
              <c16:uniqueId val="{00000001-03E4-499A-91B0-F24FBB11359B}"/>
            </c:ext>
          </c:extLst>
        </c:ser>
        <c:ser>
          <c:idx val="2"/>
          <c:order val="2"/>
          <c:tx>
            <c:strRef>
              <c:f>'Multiples (4) Graphs'!$T$5</c:f>
              <c:strCache>
                <c:ptCount val="1"/>
                <c:pt idx="0">
                  <c:v>Other</c:v>
                </c:pt>
              </c:strCache>
            </c:strRef>
          </c:tx>
          <c:spPr>
            <a:solidFill>
              <a:schemeClr val="accent3"/>
            </a:solidFill>
            <a:ln>
              <a:noFill/>
            </a:ln>
            <a:effectLst/>
          </c:spPr>
          <c:invertIfNegative val="0"/>
          <c:cat>
            <c:strRef>
              <c:f>'Multiples (4) Graphs'!$U$1:$X$2</c:f>
              <c:strCache>
                <c:ptCount val="4"/>
                <c:pt idx="0">
                  <c:v>Mean Last Fiscal year</c:v>
                </c:pt>
                <c:pt idx="1">
                  <c:v>Mean LTM</c:v>
                </c:pt>
                <c:pt idx="2">
                  <c:v>Median Last fiscal Year</c:v>
                </c:pt>
                <c:pt idx="3">
                  <c:v>Median LTM</c:v>
                </c:pt>
              </c:strCache>
            </c:strRef>
          </c:cat>
          <c:val>
            <c:numRef>
              <c:f>'Multiples (4) Graphs'!$U$5:$X$5</c:f>
              <c:numCache>
                <c:formatCode>#,##0.00\x;\(#,##0.00\)\x</c:formatCode>
                <c:ptCount val="4"/>
                <c:pt idx="0">
                  <c:v>-6.5446124213880106</c:v>
                </c:pt>
                <c:pt idx="1">
                  <c:v>57.727632515292619</c:v>
                </c:pt>
                <c:pt idx="2">
                  <c:v>0.2213124723406702</c:v>
                </c:pt>
                <c:pt idx="3">
                  <c:v>36.910288203097778</c:v>
                </c:pt>
              </c:numCache>
            </c:numRef>
          </c:val>
          <c:extLst>
            <c:ext xmlns:c16="http://schemas.microsoft.com/office/drawing/2014/chart" uri="{C3380CC4-5D6E-409C-BE32-E72D297353CC}">
              <c16:uniqueId val="{00000002-03E4-499A-91B0-F24FBB11359B}"/>
            </c:ext>
          </c:extLst>
        </c:ser>
        <c:dLbls>
          <c:showLegendKey val="0"/>
          <c:showVal val="0"/>
          <c:showCatName val="0"/>
          <c:showSerName val="0"/>
          <c:showPercent val="0"/>
          <c:showBubbleSize val="0"/>
        </c:dLbls>
        <c:gapWidth val="219"/>
        <c:overlap val="-27"/>
        <c:axId val="690622719"/>
        <c:axId val="690616895"/>
      </c:barChart>
      <c:catAx>
        <c:axId val="69062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90616895"/>
        <c:crosses val="autoZero"/>
        <c:auto val="1"/>
        <c:lblAlgn val="ctr"/>
        <c:lblOffset val="100"/>
        <c:noMultiLvlLbl val="0"/>
      </c:catAx>
      <c:valAx>
        <c:axId val="690616895"/>
        <c:scaling>
          <c:orientation val="minMax"/>
        </c:scaling>
        <c:delete val="0"/>
        <c:axPos val="l"/>
        <c:majorGridlines>
          <c:spPr>
            <a:ln w="9525" cap="flat" cmpd="sng" algn="ctr">
              <a:solidFill>
                <a:schemeClr val="tx1">
                  <a:lumMod val="15000"/>
                  <a:lumOff val="85000"/>
                </a:schemeClr>
              </a:solidFill>
              <a:round/>
            </a:ln>
            <a:effectLst/>
          </c:spPr>
        </c:majorGridlines>
        <c:numFmt formatCode="#,##0.00\x;\(#,##0.00\)\x"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906227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'Multiples (4) Graphs'!$Z$3</c:f>
              <c:strCache>
                <c:ptCount val="1"/>
                <c:pt idx="0">
                  <c:v>Emerging markets</c:v>
                </c:pt>
              </c:strCache>
            </c:strRef>
          </c:tx>
          <c:spPr>
            <a:solidFill>
              <a:schemeClr val="accent1"/>
            </a:solidFill>
            <a:ln>
              <a:noFill/>
            </a:ln>
            <a:effectLst/>
          </c:spPr>
          <c:invertIfNegative val="0"/>
          <c:cat>
            <c:strRef>
              <c:f>'Multiples (4) Graphs'!$AA$1:$AD$2</c:f>
              <c:strCache>
                <c:ptCount val="4"/>
                <c:pt idx="0">
                  <c:v>Mean Last Fiscal year</c:v>
                </c:pt>
                <c:pt idx="1">
                  <c:v>Mean LTM</c:v>
                </c:pt>
                <c:pt idx="2">
                  <c:v>Median Last fiscal Year</c:v>
                </c:pt>
                <c:pt idx="3">
                  <c:v>Median LTM</c:v>
                </c:pt>
              </c:strCache>
            </c:strRef>
          </c:cat>
          <c:val>
            <c:numRef>
              <c:f>'Multiples (4) Graphs'!$AA$3:$AD$3</c:f>
              <c:numCache>
                <c:formatCode>#,##0.00\x;\(#,##0.00\)\x</c:formatCode>
                <c:ptCount val="4"/>
                <c:pt idx="0">
                  <c:v>2.2026236756561866</c:v>
                </c:pt>
                <c:pt idx="1">
                  <c:v>1.0710338937159687</c:v>
                </c:pt>
                <c:pt idx="2">
                  <c:v>2.6675465863781431</c:v>
                </c:pt>
                <c:pt idx="3">
                  <c:v>-8.8172605220599998E-3</c:v>
                </c:pt>
              </c:numCache>
            </c:numRef>
          </c:val>
          <c:extLst>
            <c:ext xmlns:c16="http://schemas.microsoft.com/office/drawing/2014/chart" uri="{C3380CC4-5D6E-409C-BE32-E72D297353CC}">
              <c16:uniqueId val="{00000000-6EDA-4E27-91B3-A70D2A29D9CD}"/>
            </c:ext>
          </c:extLst>
        </c:ser>
        <c:ser>
          <c:idx val="1"/>
          <c:order val="1"/>
          <c:tx>
            <c:strRef>
              <c:f>'Multiples (4) Graphs'!$Z$4</c:f>
              <c:strCache>
                <c:ptCount val="1"/>
                <c:pt idx="0">
                  <c:v>USA</c:v>
                </c:pt>
              </c:strCache>
            </c:strRef>
          </c:tx>
          <c:spPr>
            <a:solidFill>
              <a:schemeClr val="accent2"/>
            </a:solidFill>
            <a:ln>
              <a:noFill/>
            </a:ln>
            <a:effectLst/>
          </c:spPr>
          <c:invertIfNegative val="0"/>
          <c:cat>
            <c:strRef>
              <c:f>'Multiples (4) Graphs'!$AA$1:$AD$2</c:f>
              <c:strCache>
                <c:ptCount val="4"/>
                <c:pt idx="0">
                  <c:v>Mean Last Fiscal year</c:v>
                </c:pt>
                <c:pt idx="1">
                  <c:v>Mean LTM</c:v>
                </c:pt>
                <c:pt idx="2">
                  <c:v>Median Last fiscal Year</c:v>
                </c:pt>
                <c:pt idx="3">
                  <c:v>Median LTM</c:v>
                </c:pt>
              </c:strCache>
            </c:strRef>
          </c:cat>
          <c:val>
            <c:numRef>
              <c:f>'Multiples (4) Graphs'!$AA$4:$AD$4</c:f>
              <c:numCache>
                <c:formatCode>#,##0.00\x;\(#,##0.00\)\x</c:formatCode>
                <c:ptCount val="4"/>
                <c:pt idx="0">
                  <c:v>2.0672546184999221</c:v>
                </c:pt>
                <c:pt idx="1">
                  <c:v>1.5269712606792758</c:v>
                </c:pt>
                <c:pt idx="2">
                  <c:v>1.8057911747834172</c:v>
                </c:pt>
                <c:pt idx="3">
                  <c:v>1.2320650510987901</c:v>
                </c:pt>
              </c:numCache>
            </c:numRef>
          </c:val>
          <c:extLst>
            <c:ext xmlns:c16="http://schemas.microsoft.com/office/drawing/2014/chart" uri="{C3380CC4-5D6E-409C-BE32-E72D297353CC}">
              <c16:uniqueId val="{00000001-6EDA-4E27-91B3-A70D2A29D9CD}"/>
            </c:ext>
          </c:extLst>
        </c:ser>
        <c:ser>
          <c:idx val="2"/>
          <c:order val="2"/>
          <c:tx>
            <c:strRef>
              <c:f>'Multiples (4) Graphs'!$Z$5</c:f>
              <c:strCache>
                <c:ptCount val="1"/>
                <c:pt idx="0">
                  <c:v>Other</c:v>
                </c:pt>
              </c:strCache>
            </c:strRef>
          </c:tx>
          <c:spPr>
            <a:solidFill>
              <a:schemeClr val="accent3"/>
            </a:solidFill>
            <a:ln>
              <a:noFill/>
            </a:ln>
            <a:effectLst/>
          </c:spPr>
          <c:invertIfNegative val="0"/>
          <c:cat>
            <c:strRef>
              <c:f>'Multiples (4) Graphs'!$AA$1:$AD$2</c:f>
              <c:strCache>
                <c:ptCount val="4"/>
                <c:pt idx="0">
                  <c:v>Mean Last Fiscal year</c:v>
                </c:pt>
                <c:pt idx="1">
                  <c:v>Mean LTM</c:v>
                </c:pt>
                <c:pt idx="2">
                  <c:v>Median Last fiscal Year</c:v>
                </c:pt>
                <c:pt idx="3">
                  <c:v>Median LTM</c:v>
                </c:pt>
              </c:strCache>
            </c:strRef>
          </c:cat>
          <c:val>
            <c:numRef>
              <c:f>'Multiples (4) Graphs'!$AA$5:$AD$5</c:f>
              <c:numCache>
                <c:formatCode>#,##0.00\x;\(#,##0.00\)\x</c:formatCode>
                <c:ptCount val="4"/>
                <c:pt idx="0">
                  <c:v>0.96664513060259649</c:v>
                </c:pt>
                <c:pt idx="1">
                  <c:v>0.74389491064932844</c:v>
                </c:pt>
                <c:pt idx="2">
                  <c:v>0.72127226313558124</c:v>
                </c:pt>
                <c:pt idx="3">
                  <c:v>0.60912279603134145</c:v>
                </c:pt>
              </c:numCache>
            </c:numRef>
          </c:val>
          <c:extLst>
            <c:ext xmlns:c16="http://schemas.microsoft.com/office/drawing/2014/chart" uri="{C3380CC4-5D6E-409C-BE32-E72D297353CC}">
              <c16:uniqueId val="{00000002-6EDA-4E27-91B3-A70D2A29D9CD}"/>
            </c:ext>
          </c:extLst>
        </c:ser>
        <c:dLbls>
          <c:showLegendKey val="0"/>
          <c:showVal val="0"/>
          <c:showCatName val="0"/>
          <c:showSerName val="0"/>
          <c:showPercent val="0"/>
          <c:showBubbleSize val="0"/>
        </c:dLbls>
        <c:gapWidth val="219"/>
        <c:overlap val="-27"/>
        <c:axId val="521107263"/>
        <c:axId val="521111423"/>
      </c:barChart>
      <c:catAx>
        <c:axId val="52110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521111423"/>
        <c:crosses val="autoZero"/>
        <c:auto val="1"/>
        <c:lblAlgn val="ctr"/>
        <c:lblOffset val="100"/>
        <c:noMultiLvlLbl val="0"/>
      </c:catAx>
      <c:valAx>
        <c:axId val="521111423"/>
        <c:scaling>
          <c:orientation val="minMax"/>
        </c:scaling>
        <c:delete val="0"/>
        <c:axPos val="l"/>
        <c:majorGridlines>
          <c:spPr>
            <a:ln w="9525" cap="flat" cmpd="sng" algn="ctr">
              <a:solidFill>
                <a:schemeClr val="tx1">
                  <a:lumMod val="15000"/>
                  <a:lumOff val="85000"/>
                </a:schemeClr>
              </a:solidFill>
              <a:round/>
            </a:ln>
            <a:effectLst/>
          </c:spPr>
        </c:majorGridlines>
        <c:numFmt formatCode="#,##0.00\x;\(#,##0.00\)\x"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521107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7.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6.xml"/><Relationship Id="rId2" Type="http://schemas.openxmlformats.org/officeDocument/2006/relationships/chart" Target="../charts/chart2.xml"/><Relationship Id="rId16"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4" Type="http://schemas.openxmlformats.org/officeDocument/2006/relationships/chart" Target="../charts/chart2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5" Type="http://schemas.openxmlformats.org/officeDocument/2006/relationships/chart" Target="../charts/chart31.xml"/><Relationship Id="rId4" Type="http://schemas.openxmlformats.org/officeDocument/2006/relationships/chart" Target="../charts/chart3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10.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11.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1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42.xml"/><Relationship Id="rId13" Type="http://schemas.openxmlformats.org/officeDocument/2006/relationships/chart" Target="../charts/chart47.xml"/><Relationship Id="rId3" Type="http://schemas.openxmlformats.org/officeDocument/2006/relationships/chart" Target="../charts/chart37.xml"/><Relationship Id="rId7" Type="http://schemas.openxmlformats.org/officeDocument/2006/relationships/chart" Target="../charts/chart41.xml"/><Relationship Id="rId12" Type="http://schemas.openxmlformats.org/officeDocument/2006/relationships/chart" Target="../charts/chart46.xml"/><Relationship Id="rId2" Type="http://schemas.openxmlformats.org/officeDocument/2006/relationships/chart" Target="../charts/chart36.xml"/><Relationship Id="rId16" Type="http://schemas.openxmlformats.org/officeDocument/2006/relationships/chart" Target="../charts/chart50.xml"/><Relationship Id="rId1" Type="http://schemas.openxmlformats.org/officeDocument/2006/relationships/chart" Target="../charts/chart35.xml"/><Relationship Id="rId6" Type="http://schemas.openxmlformats.org/officeDocument/2006/relationships/chart" Target="../charts/chart40.xml"/><Relationship Id="rId11" Type="http://schemas.openxmlformats.org/officeDocument/2006/relationships/chart" Target="../charts/chart45.xml"/><Relationship Id="rId5" Type="http://schemas.openxmlformats.org/officeDocument/2006/relationships/chart" Target="../charts/chart39.xml"/><Relationship Id="rId15" Type="http://schemas.openxmlformats.org/officeDocument/2006/relationships/chart" Target="../charts/chart49.xml"/><Relationship Id="rId10" Type="http://schemas.openxmlformats.org/officeDocument/2006/relationships/chart" Target="../charts/chart44.xml"/><Relationship Id="rId4" Type="http://schemas.openxmlformats.org/officeDocument/2006/relationships/chart" Target="../charts/chart38.xml"/><Relationship Id="rId9" Type="http://schemas.openxmlformats.org/officeDocument/2006/relationships/chart" Target="../charts/chart43.xml"/><Relationship Id="rId14" Type="http://schemas.openxmlformats.org/officeDocument/2006/relationships/chart" Target="../charts/chart48.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53.xml"/><Relationship Id="rId2" Type="http://schemas.openxmlformats.org/officeDocument/2006/relationships/chart" Target="../charts/chart52.xml"/><Relationship Id="rId1" Type="http://schemas.openxmlformats.org/officeDocument/2006/relationships/chart" Target="../charts/chart51.xml"/><Relationship Id="rId4" Type="http://schemas.openxmlformats.org/officeDocument/2006/relationships/chart" Target="../charts/chart54.xml"/></Relationships>
</file>

<file path=xl/drawings/drawing1.xml><?xml version="1.0" encoding="utf-8"?>
<xdr:wsDr xmlns:xdr="http://schemas.openxmlformats.org/drawingml/2006/spreadsheetDrawing" xmlns:a="http://schemas.openxmlformats.org/drawingml/2006/main">
  <xdr:twoCellAnchor>
    <xdr:from>
      <xdr:col>13</xdr:col>
      <xdr:colOff>355598</xdr:colOff>
      <xdr:row>4</xdr:row>
      <xdr:rowOff>76200</xdr:rowOff>
    </xdr:from>
    <xdr:to>
      <xdr:col>20</xdr:col>
      <xdr:colOff>0</xdr:colOff>
      <xdr:row>15</xdr:row>
      <xdr:rowOff>98778</xdr:rowOff>
    </xdr:to>
    <xdr:graphicFrame macro="">
      <xdr:nvGraphicFramePr>
        <xdr:cNvPr id="4" name="Grafico 3">
          <a:extLst>
            <a:ext uri="{FF2B5EF4-FFF2-40B4-BE49-F238E27FC236}">
              <a16:creationId xmlns:a16="http://schemas.microsoft.com/office/drawing/2014/main" id="{812D4914-560A-774D-BAD2-C67F1072A2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355600</xdr:colOff>
      <xdr:row>15</xdr:row>
      <xdr:rowOff>101600</xdr:rowOff>
    </xdr:from>
    <xdr:to>
      <xdr:col>19</xdr:col>
      <xdr:colOff>368299</xdr:colOff>
      <xdr:row>30</xdr:row>
      <xdr:rowOff>101871</xdr:rowOff>
    </xdr:to>
    <xdr:graphicFrame macro="">
      <xdr:nvGraphicFramePr>
        <xdr:cNvPr id="3" name="Grafico 2">
          <a:extLst>
            <a:ext uri="{FF2B5EF4-FFF2-40B4-BE49-F238E27FC236}">
              <a16:creationId xmlns:a16="http://schemas.microsoft.com/office/drawing/2014/main" id="{45B049EA-2A42-17CC-95EE-8D05E15ED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365239</xdr:colOff>
      <xdr:row>15</xdr:row>
      <xdr:rowOff>54717</xdr:rowOff>
    </xdr:from>
    <xdr:to>
      <xdr:col>25</xdr:col>
      <xdr:colOff>352261</xdr:colOff>
      <xdr:row>30</xdr:row>
      <xdr:rowOff>45075</xdr:rowOff>
    </xdr:to>
    <xdr:graphicFrame macro="">
      <xdr:nvGraphicFramePr>
        <xdr:cNvPr id="19" name="Grafico 4">
          <a:extLst>
            <a:ext uri="{FF2B5EF4-FFF2-40B4-BE49-F238E27FC236}">
              <a16:creationId xmlns:a16="http://schemas.microsoft.com/office/drawing/2014/main" id="{F3FA6946-BA62-03B7-2761-01623B82AC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344714</xdr:colOff>
      <xdr:row>30</xdr:row>
      <xdr:rowOff>79829</xdr:rowOff>
    </xdr:from>
    <xdr:to>
      <xdr:col>19</xdr:col>
      <xdr:colOff>362856</xdr:colOff>
      <xdr:row>43</xdr:row>
      <xdr:rowOff>220134</xdr:rowOff>
    </xdr:to>
    <xdr:graphicFrame macro="">
      <xdr:nvGraphicFramePr>
        <xdr:cNvPr id="9" name="Grafico 8">
          <a:extLst>
            <a:ext uri="{FF2B5EF4-FFF2-40B4-BE49-F238E27FC236}">
              <a16:creationId xmlns:a16="http://schemas.microsoft.com/office/drawing/2014/main" id="{B342D0B5-45E8-8988-D93E-233F8CBBAD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346310</xdr:colOff>
      <xdr:row>59</xdr:row>
      <xdr:rowOff>66368</xdr:rowOff>
    </xdr:from>
    <xdr:to>
      <xdr:col>19</xdr:col>
      <xdr:colOff>346310</xdr:colOff>
      <xdr:row>76</xdr:row>
      <xdr:rowOff>100120</xdr:rowOff>
    </xdr:to>
    <xdr:graphicFrame macro="">
      <xdr:nvGraphicFramePr>
        <xdr:cNvPr id="10" name="Grafico 9">
          <a:extLst>
            <a:ext uri="{FF2B5EF4-FFF2-40B4-BE49-F238E27FC236}">
              <a16:creationId xmlns:a16="http://schemas.microsoft.com/office/drawing/2014/main" id="{2AE52AB6-4528-22C7-E2AA-C18483BAEB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346310</xdr:colOff>
      <xdr:row>59</xdr:row>
      <xdr:rowOff>66368</xdr:rowOff>
    </xdr:from>
    <xdr:to>
      <xdr:col>25</xdr:col>
      <xdr:colOff>566443</xdr:colOff>
      <xdr:row>76</xdr:row>
      <xdr:rowOff>135250</xdr:rowOff>
    </xdr:to>
    <xdr:graphicFrame macro="">
      <xdr:nvGraphicFramePr>
        <xdr:cNvPr id="11" name="Grafico 10">
          <a:extLst>
            <a:ext uri="{FF2B5EF4-FFF2-40B4-BE49-F238E27FC236}">
              <a16:creationId xmlns:a16="http://schemas.microsoft.com/office/drawing/2014/main" id="{E7AE8210-2DF5-CA1E-AB77-39039B2BFC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406399</xdr:colOff>
      <xdr:row>30</xdr:row>
      <xdr:rowOff>101600</xdr:rowOff>
    </xdr:from>
    <xdr:to>
      <xdr:col>25</xdr:col>
      <xdr:colOff>389466</xdr:colOff>
      <xdr:row>43</xdr:row>
      <xdr:rowOff>194734</xdr:rowOff>
    </xdr:to>
    <xdr:graphicFrame macro="">
      <xdr:nvGraphicFramePr>
        <xdr:cNvPr id="2" name="Grafico 1">
          <a:extLst>
            <a:ext uri="{FF2B5EF4-FFF2-40B4-BE49-F238E27FC236}">
              <a16:creationId xmlns:a16="http://schemas.microsoft.com/office/drawing/2014/main" id="{A623A499-7E10-89BD-7B74-67D79318C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372534</xdr:colOff>
      <xdr:row>43</xdr:row>
      <xdr:rowOff>203199</xdr:rowOff>
    </xdr:from>
    <xdr:to>
      <xdr:col>19</xdr:col>
      <xdr:colOff>372534</xdr:colOff>
      <xdr:row>48</xdr:row>
      <xdr:rowOff>796120</xdr:rowOff>
    </xdr:to>
    <xdr:graphicFrame macro="">
      <xdr:nvGraphicFramePr>
        <xdr:cNvPr id="6" name="Grafico 5">
          <a:extLst>
            <a:ext uri="{FF2B5EF4-FFF2-40B4-BE49-F238E27FC236}">
              <a16:creationId xmlns:a16="http://schemas.microsoft.com/office/drawing/2014/main" id="{BC649FC4-D3A3-B093-A5C5-7434F18CD6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348226</xdr:colOff>
      <xdr:row>48</xdr:row>
      <xdr:rowOff>860322</xdr:rowOff>
    </xdr:from>
    <xdr:to>
      <xdr:col>19</xdr:col>
      <xdr:colOff>409677</xdr:colOff>
      <xdr:row>58</xdr:row>
      <xdr:rowOff>165965</xdr:rowOff>
    </xdr:to>
    <xdr:graphicFrame macro="">
      <xdr:nvGraphicFramePr>
        <xdr:cNvPr id="8" name="Grafico 7">
          <a:extLst>
            <a:ext uri="{FF2B5EF4-FFF2-40B4-BE49-F238E27FC236}">
              <a16:creationId xmlns:a16="http://schemas.microsoft.com/office/drawing/2014/main" id="{86DD42D8-CA94-FB49-B1C5-8442A2C63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425493</xdr:colOff>
      <xdr:row>48</xdr:row>
      <xdr:rowOff>860321</xdr:rowOff>
    </xdr:from>
    <xdr:to>
      <xdr:col>25</xdr:col>
      <xdr:colOff>614516</xdr:colOff>
      <xdr:row>59</xdr:row>
      <xdr:rowOff>17997</xdr:rowOff>
    </xdr:to>
    <xdr:graphicFrame macro="">
      <xdr:nvGraphicFramePr>
        <xdr:cNvPr id="12" name="Grafico 11">
          <a:extLst>
            <a:ext uri="{FF2B5EF4-FFF2-40B4-BE49-F238E27FC236}">
              <a16:creationId xmlns:a16="http://schemas.microsoft.com/office/drawing/2014/main" id="{9D6146EC-09E2-E923-9DC3-1D069DF774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355599</xdr:colOff>
      <xdr:row>76</xdr:row>
      <xdr:rowOff>110065</xdr:rowOff>
    </xdr:from>
    <xdr:to>
      <xdr:col>19</xdr:col>
      <xdr:colOff>338666</xdr:colOff>
      <xdr:row>86</xdr:row>
      <xdr:rowOff>0</xdr:rowOff>
    </xdr:to>
    <xdr:graphicFrame macro="">
      <xdr:nvGraphicFramePr>
        <xdr:cNvPr id="15" name="Grafico 14">
          <a:extLst>
            <a:ext uri="{FF2B5EF4-FFF2-40B4-BE49-F238E27FC236}">
              <a16:creationId xmlns:a16="http://schemas.microsoft.com/office/drawing/2014/main" id="{CF8B361F-97ED-C8C2-B40A-773A8CD799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263056</xdr:colOff>
      <xdr:row>86</xdr:row>
      <xdr:rowOff>840991</xdr:rowOff>
    </xdr:from>
    <xdr:to>
      <xdr:col>19</xdr:col>
      <xdr:colOff>238880</xdr:colOff>
      <xdr:row>95</xdr:row>
      <xdr:rowOff>19957</xdr:rowOff>
    </xdr:to>
    <xdr:graphicFrame macro="">
      <xdr:nvGraphicFramePr>
        <xdr:cNvPr id="7" name="Grafico 6">
          <a:extLst>
            <a:ext uri="{FF2B5EF4-FFF2-40B4-BE49-F238E27FC236}">
              <a16:creationId xmlns:a16="http://schemas.microsoft.com/office/drawing/2014/main" id="{2F169A8C-0086-D749-36D1-E2B753CFE9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339271</xdr:colOff>
      <xdr:row>95</xdr:row>
      <xdr:rowOff>608996</xdr:rowOff>
    </xdr:from>
    <xdr:to>
      <xdr:col>20</xdr:col>
      <xdr:colOff>115509</xdr:colOff>
      <xdr:row>113</xdr:row>
      <xdr:rowOff>101602</xdr:rowOff>
    </xdr:to>
    <xdr:graphicFrame macro="">
      <xdr:nvGraphicFramePr>
        <xdr:cNvPr id="14" name="Grafico 13">
          <a:extLst>
            <a:ext uri="{FF2B5EF4-FFF2-40B4-BE49-F238E27FC236}">
              <a16:creationId xmlns:a16="http://schemas.microsoft.com/office/drawing/2014/main" id="{D0A6D2CA-E5DE-CE92-AE36-A771F74B49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381000</xdr:colOff>
      <xdr:row>86</xdr:row>
      <xdr:rowOff>736601</xdr:rowOff>
    </xdr:from>
    <xdr:to>
      <xdr:col>25</xdr:col>
      <xdr:colOff>203200</xdr:colOff>
      <xdr:row>94</xdr:row>
      <xdr:rowOff>152400</xdr:rowOff>
    </xdr:to>
    <xdr:graphicFrame macro="">
      <xdr:nvGraphicFramePr>
        <xdr:cNvPr id="16" name="Grafico 15">
          <a:extLst>
            <a:ext uri="{FF2B5EF4-FFF2-40B4-BE49-F238E27FC236}">
              <a16:creationId xmlns:a16="http://schemas.microsoft.com/office/drawing/2014/main" id="{4E8D36C7-BEF6-0C73-45A6-3BD7425C95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20</xdr:col>
      <xdr:colOff>419100</xdr:colOff>
      <xdr:row>95</xdr:row>
      <xdr:rowOff>457200</xdr:rowOff>
    </xdr:from>
    <xdr:to>
      <xdr:col>26</xdr:col>
      <xdr:colOff>533400</xdr:colOff>
      <xdr:row>113</xdr:row>
      <xdr:rowOff>50800</xdr:rowOff>
    </xdr:to>
    <xdr:graphicFrame macro="">
      <xdr:nvGraphicFramePr>
        <xdr:cNvPr id="17" name="Grafico 16">
          <a:extLst>
            <a:ext uri="{FF2B5EF4-FFF2-40B4-BE49-F238E27FC236}">
              <a16:creationId xmlns:a16="http://schemas.microsoft.com/office/drawing/2014/main" id="{9C7D056A-C079-3E0C-5CA6-FFE99E06DA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13</xdr:col>
      <xdr:colOff>296333</xdr:colOff>
      <xdr:row>115</xdr:row>
      <xdr:rowOff>105833</xdr:rowOff>
    </xdr:from>
    <xdr:to>
      <xdr:col>22</xdr:col>
      <xdr:colOff>639233</xdr:colOff>
      <xdr:row>136</xdr:row>
      <xdr:rowOff>160896</xdr:rowOff>
    </xdr:to>
    <xdr:pic>
      <xdr:nvPicPr>
        <xdr:cNvPr id="13" name="Immagine 12">
          <a:extLst>
            <a:ext uri="{FF2B5EF4-FFF2-40B4-BE49-F238E27FC236}">
              <a16:creationId xmlns:a16="http://schemas.microsoft.com/office/drawing/2014/main" id="{80D67833-0BE4-16B0-CBB8-8D17FCDCBD3D}"/>
            </a:ext>
          </a:extLst>
        </xdr:cNvPr>
        <xdr:cNvPicPr>
          <a:picLocks noChangeAspect="1"/>
        </xdr:cNvPicPr>
      </xdr:nvPicPr>
      <xdr:blipFill>
        <a:blip xmlns:r="http://schemas.openxmlformats.org/officeDocument/2006/relationships" r:embed="rId16"/>
        <a:stretch>
          <a:fillRect/>
        </a:stretch>
      </xdr:blipFill>
      <xdr:spPr>
        <a:xfrm>
          <a:off x="22881166" y="28003500"/>
          <a:ext cx="7772400" cy="4380613"/>
        </a:xfrm>
        <a:prstGeom prst="rect">
          <a:avLst/>
        </a:prstGeom>
      </xdr:spPr>
    </xdr:pic>
    <xdr:clientData/>
  </xdr:twoCellAnchor>
  <xdr:twoCellAnchor>
    <xdr:from>
      <xdr:col>13</xdr:col>
      <xdr:colOff>444500</xdr:colOff>
      <xdr:row>137</xdr:row>
      <xdr:rowOff>0</xdr:rowOff>
    </xdr:from>
    <xdr:to>
      <xdr:col>22</xdr:col>
      <xdr:colOff>533400</xdr:colOff>
      <xdr:row>154</xdr:row>
      <xdr:rowOff>101600</xdr:rowOff>
    </xdr:to>
    <xdr:graphicFrame macro="">
      <xdr:nvGraphicFramePr>
        <xdr:cNvPr id="18" name="Grafico 17">
          <a:extLst>
            <a:ext uri="{FF2B5EF4-FFF2-40B4-BE49-F238E27FC236}">
              <a16:creationId xmlns:a16="http://schemas.microsoft.com/office/drawing/2014/main" id="{98155B7E-1960-9DE8-8528-D1755F990C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25</xdr:col>
      <xdr:colOff>763093</xdr:colOff>
      <xdr:row>76</xdr:row>
      <xdr:rowOff>111889</xdr:rowOff>
    </xdr:from>
    <xdr:to>
      <xdr:col>34</xdr:col>
      <xdr:colOff>481725</xdr:colOff>
      <xdr:row>92</xdr:row>
      <xdr:rowOff>131379</xdr:rowOff>
    </xdr:to>
    <xdr:graphicFrame macro="">
      <xdr:nvGraphicFramePr>
        <xdr:cNvPr id="1111" name="Grafico 18">
          <a:extLst>
            <a:ext uri="{FF2B5EF4-FFF2-40B4-BE49-F238E27FC236}">
              <a16:creationId xmlns:a16="http://schemas.microsoft.com/office/drawing/2014/main" id="{E8F1A7E6-83AE-1B4F-5DF8-52ED662F41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641755</xdr:colOff>
      <xdr:row>10</xdr:row>
      <xdr:rowOff>153750</xdr:rowOff>
    </xdr:from>
    <xdr:to>
      <xdr:col>8</xdr:col>
      <xdr:colOff>1305128</xdr:colOff>
      <xdr:row>24</xdr:row>
      <xdr:rowOff>97276</xdr:rowOff>
    </xdr:to>
    <xdr:graphicFrame macro="">
      <xdr:nvGraphicFramePr>
        <xdr:cNvPr id="6" name="Grafico 2">
          <a:extLst>
            <a:ext uri="{FF2B5EF4-FFF2-40B4-BE49-F238E27FC236}">
              <a16:creationId xmlns:a16="http://schemas.microsoft.com/office/drawing/2014/main" id="{06D89BF8-3242-56B2-7964-C0DFDDE53A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573374</xdr:colOff>
      <xdr:row>92</xdr:row>
      <xdr:rowOff>109720</xdr:rowOff>
    </xdr:from>
    <xdr:to>
      <xdr:col>15</xdr:col>
      <xdr:colOff>573374</xdr:colOff>
      <xdr:row>102</xdr:row>
      <xdr:rowOff>147821</xdr:rowOff>
    </xdr:to>
    <xdr:graphicFrame macro="">
      <xdr:nvGraphicFramePr>
        <xdr:cNvPr id="20" name="Grafico 19">
          <a:extLst>
            <a:ext uri="{FF2B5EF4-FFF2-40B4-BE49-F238E27FC236}">
              <a16:creationId xmlns:a16="http://schemas.microsoft.com/office/drawing/2014/main" id="{A801CA11-FC64-35CB-07A1-BEB28975C4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573373</xdr:colOff>
      <xdr:row>102</xdr:row>
      <xdr:rowOff>164060</xdr:rowOff>
    </xdr:from>
    <xdr:to>
      <xdr:col>15</xdr:col>
      <xdr:colOff>573373</xdr:colOff>
      <xdr:row>112</xdr:row>
      <xdr:rowOff>189459</xdr:rowOff>
    </xdr:to>
    <xdr:graphicFrame macro="">
      <xdr:nvGraphicFramePr>
        <xdr:cNvPr id="21" name="Grafico 20">
          <a:extLst>
            <a:ext uri="{FF2B5EF4-FFF2-40B4-BE49-F238E27FC236}">
              <a16:creationId xmlns:a16="http://schemas.microsoft.com/office/drawing/2014/main" id="{F3CA30C8-D403-2E51-A65B-B96CA94464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531733</xdr:colOff>
      <xdr:row>92</xdr:row>
      <xdr:rowOff>143239</xdr:rowOff>
    </xdr:from>
    <xdr:to>
      <xdr:col>21</xdr:col>
      <xdr:colOff>531733</xdr:colOff>
      <xdr:row>102</xdr:row>
      <xdr:rowOff>168640</xdr:rowOff>
    </xdr:to>
    <xdr:graphicFrame macro="">
      <xdr:nvGraphicFramePr>
        <xdr:cNvPr id="22" name="Grafico 21">
          <a:extLst>
            <a:ext uri="{FF2B5EF4-FFF2-40B4-BE49-F238E27FC236}">
              <a16:creationId xmlns:a16="http://schemas.microsoft.com/office/drawing/2014/main" id="{03BFB7F9-2EAC-606E-96DF-8C73B31601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573374</xdr:colOff>
      <xdr:row>102</xdr:row>
      <xdr:rowOff>164059</xdr:rowOff>
    </xdr:from>
    <xdr:to>
      <xdr:col>21</xdr:col>
      <xdr:colOff>573374</xdr:colOff>
      <xdr:row>112</xdr:row>
      <xdr:rowOff>202158</xdr:rowOff>
    </xdr:to>
    <xdr:graphicFrame macro="">
      <xdr:nvGraphicFramePr>
        <xdr:cNvPr id="23" name="Grafico 22">
          <a:extLst>
            <a:ext uri="{FF2B5EF4-FFF2-40B4-BE49-F238E27FC236}">
              <a16:creationId xmlns:a16="http://schemas.microsoft.com/office/drawing/2014/main" id="{09084D7F-6387-2E5E-95B7-32F0327065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18</xdr:col>
      <xdr:colOff>535215</xdr:colOff>
      <xdr:row>25</xdr:row>
      <xdr:rowOff>90715</xdr:rowOff>
    </xdr:from>
    <xdr:to>
      <xdr:col>29</xdr:col>
      <xdr:colOff>417286</xdr:colOff>
      <xdr:row>45</xdr:row>
      <xdr:rowOff>65316</xdr:rowOff>
    </xdr:to>
    <xdr:graphicFrame macro="">
      <xdr:nvGraphicFramePr>
        <xdr:cNvPr id="2" name="Grafico 1">
          <a:extLst>
            <a:ext uri="{FF2B5EF4-FFF2-40B4-BE49-F238E27FC236}">
              <a16:creationId xmlns:a16="http://schemas.microsoft.com/office/drawing/2014/main" id="{F1808A7B-684C-4345-9958-4B0E1901F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28</xdr:col>
      <xdr:colOff>99786</xdr:colOff>
      <xdr:row>0</xdr:row>
      <xdr:rowOff>143328</xdr:rowOff>
    </xdr:from>
    <xdr:to>
      <xdr:col>34</xdr:col>
      <xdr:colOff>644071</xdr:colOff>
      <xdr:row>14</xdr:row>
      <xdr:rowOff>92528</xdr:rowOff>
    </xdr:to>
    <xdr:graphicFrame macro="">
      <xdr:nvGraphicFramePr>
        <xdr:cNvPr id="2" name="Grafico 2">
          <a:extLst>
            <a:ext uri="{FF2B5EF4-FFF2-40B4-BE49-F238E27FC236}">
              <a16:creationId xmlns:a16="http://schemas.microsoft.com/office/drawing/2014/main" id="{22037DC6-5AE0-114F-A54B-EC24018B4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97550</xdr:colOff>
      <xdr:row>14</xdr:row>
      <xdr:rowOff>73623</xdr:rowOff>
    </xdr:from>
    <xdr:to>
      <xdr:col>35</xdr:col>
      <xdr:colOff>36812</xdr:colOff>
      <xdr:row>27</xdr:row>
      <xdr:rowOff>184426</xdr:rowOff>
    </xdr:to>
    <xdr:graphicFrame macro="">
      <xdr:nvGraphicFramePr>
        <xdr:cNvPr id="3" name="Grafico 3">
          <a:extLst>
            <a:ext uri="{FF2B5EF4-FFF2-40B4-BE49-F238E27FC236}">
              <a16:creationId xmlns:a16="http://schemas.microsoft.com/office/drawing/2014/main" id="{1F867B4A-C59F-1948-A932-DB3452CC0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838200</xdr:colOff>
      <xdr:row>11</xdr:row>
      <xdr:rowOff>50800</xdr:rowOff>
    </xdr:from>
    <xdr:to>
      <xdr:col>1</xdr:col>
      <xdr:colOff>1028700</xdr:colOff>
      <xdr:row>13</xdr:row>
      <xdr:rowOff>0</xdr:rowOff>
    </xdr:to>
    <xdr:pic>
      <xdr:nvPicPr>
        <xdr:cNvPr id="2" name="Picture 2">
          <a:extLst>
            <a:ext uri="{FF2B5EF4-FFF2-40B4-BE49-F238E27FC236}">
              <a16:creationId xmlns:a16="http://schemas.microsoft.com/office/drawing/2014/main" id="{79BB1446-041C-1147-B4BC-83417A1AC9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7000" y="18402300"/>
          <a:ext cx="1346200" cy="279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819150</xdr:colOff>
      <xdr:row>1</xdr:row>
      <xdr:rowOff>25400</xdr:rowOff>
    </xdr:from>
    <xdr:to>
      <xdr:col>13</xdr:col>
      <xdr:colOff>438150</xdr:colOff>
      <xdr:row>14</xdr:row>
      <xdr:rowOff>127000</xdr:rowOff>
    </xdr:to>
    <xdr:graphicFrame macro="">
      <xdr:nvGraphicFramePr>
        <xdr:cNvPr id="3" name="Grafico 2">
          <a:extLst>
            <a:ext uri="{FF2B5EF4-FFF2-40B4-BE49-F238E27FC236}">
              <a16:creationId xmlns:a16="http://schemas.microsoft.com/office/drawing/2014/main" id="{297E68A5-659D-3689-4BDA-E6D51B064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83820</xdr:colOff>
      <xdr:row>6</xdr:row>
      <xdr:rowOff>106680</xdr:rowOff>
    </xdr:from>
    <xdr:to>
      <xdr:col>7</xdr:col>
      <xdr:colOff>381000</xdr:colOff>
      <xdr:row>20</xdr:row>
      <xdr:rowOff>47400</xdr:rowOff>
    </xdr:to>
    <xdr:graphicFrame macro="">
      <xdr:nvGraphicFramePr>
        <xdr:cNvPr id="2" name="Chart 1">
          <a:extLst>
            <a:ext uri="{FF2B5EF4-FFF2-40B4-BE49-F238E27FC236}">
              <a16:creationId xmlns:a16="http://schemas.microsoft.com/office/drawing/2014/main" id="{A27D8FFC-98C3-48CE-A377-653B052F6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53340</xdr:colOff>
      <xdr:row>6</xdr:row>
      <xdr:rowOff>114300</xdr:rowOff>
    </xdr:from>
    <xdr:to>
      <xdr:col>14</xdr:col>
      <xdr:colOff>601980</xdr:colOff>
      <xdr:row>20</xdr:row>
      <xdr:rowOff>53340</xdr:rowOff>
    </xdr:to>
    <xdr:graphicFrame macro="">
      <xdr:nvGraphicFramePr>
        <xdr:cNvPr id="3" name="Chart 2">
          <a:extLst>
            <a:ext uri="{FF2B5EF4-FFF2-40B4-BE49-F238E27FC236}">
              <a16:creationId xmlns:a16="http://schemas.microsoft.com/office/drawing/2014/main" id="{A4897608-7271-48CC-B154-36B242E4D1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579120</xdr:colOff>
      <xdr:row>27</xdr:row>
      <xdr:rowOff>0</xdr:rowOff>
    </xdr:from>
    <xdr:to>
      <xdr:col>11</xdr:col>
      <xdr:colOff>457200</xdr:colOff>
      <xdr:row>40</xdr:row>
      <xdr:rowOff>114300</xdr:rowOff>
    </xdr:to>
    <xdr:graphicFrame macro="">
      <xdr:nvGraphicFramePr>
        <xdr:cNvPr id="4" name="Chart 3">
          <a:extLst>
            <a:ext uri="{FF2B5EF4-FFF2-40B4-BE49-F238E27FC236}">
              <a16:creationId xmlns:a16="http://schemas.microsoft.com/office/drawing/2014/main" id="{330B25CE-B510-4CBE-8E63-7435FC416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53340</xdr:colOff>
      <xdr:row>49</xdr:row>
      <xdr:rowOff>91440</xdr:rowOff>
    </xdr:from>
    <xdr:to>
      <xdr:col>7</xdr:col>
      <xdr:colOff>601980</xdr:colOff>
      <xdr:row>63</xdr:row>
      <xdr:rowOff>60960</xdr:rowOff>
    </xdr:to>
    <xdr:graphicFrame macro="">
      <xdr:nvGraphicFramePr>
        <xdr:cNvPr id="5" name="Chart 4">
          <a:extLst>
            <a:ext uri="{FF2B5EF4-FFF2-40B4-BE49-F238E27FC236}">
              <a16:creationId xmlns:a16="http://schemas.microsoft.com/office/drawing/2014/main" id="{926AC839-709A-4B7D-98D1-65B32EB2A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236220</xdr:colOff>
      <xdr:row>49</xdr:row>
      <xdr:rowOff>121920</xdr:rowOff>
    </xdr:from>
    <xdr:to>
      <xdr:col>14</xdr:col>
      <xdr:colOff>571500</xdr:colOff>
      <xdr:row>63</xdr:row>
      <xdr:rowOff>91440</xdr:rowOff>
    </xdr:to>
    <xdr:graphicFrame macro="">
      <xdr:nvGraphicFramePr>
        <xdr:cNvPr id="6" name="Chart 5">
          <a:extLst>
            <a:ext uri="{FF2B5EF4-FFF2-40B4-BE49-F238E27FC236}">
              <a16:creationId xmlns:a16="http://schemas.microsoft.com/office/drawing/2014/main" id="{51058AA3-216A-4E51-86BE-01DE79990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360734</xdr:colOff>
      <xdr:row>57</xdr:row>
      <xdr:rowOff>170233</xdr:rowOff>
    </xdr:from>
    <xdr:to>
      <xdr:col>3</xdr:col>
      <xdr:colOff>178340</xdr:colOff>
      <xdr:row>72</xdr:row>
      <xdr:rowOff>8107</xdr:rowOff>
    </xdr:to>
    <xdr:graphicFrame macro="">
      <xdr:nvGraphicFramePr>
        <xdr:cNvPr id="3" name="Chart 2">
          <a:extLst>
            <a:ext uri="{FF2B5EF4-FFF2-40B4-BE49-F238E27FC236}">
              <a16:creationId xmlns:a16="http://schemas.microsoft.com/office/drawing/2014/main" id="{4B6868E9-34A4-8F1F-837A-42569BB796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13</xdr:col>
      <xdr:colOff>1924</xdr:colOff>
      <xdr:row>20</xdr:row>
      <xdr:rowOff>38486</xdr:rowOff>
    </xdr:from>
    <xdr:to>
      <xdr:col>19</xdr:col>
      <xdr:colOff>56187</xdr:colOff>
      <xdr:row>54</xdr:row>
      <xdr:rowOff>55464</xdr:rowOff>
    </xdr:to>
    <xdr:pic>
      <xdr:nvPicPr>
        <xdr:cNvPr id="3" name="Immagine 2">
          <a:extLst>
            <a:ext uri="{FF2B5EF4-FFF2-40B4-BE49-F238E27FC236}">
              <a16:creationId xmlns:a16="http://schemas.microsoft.com/office/drawing/2014/main" id="{59ED3879-EFCC-44A8-F2BE-884EFE778756}"/>
            </a:ext>
          </a:extLst>
        </xdr:cNvPr>
        <xdr:cNvPicPr>
          <a:picLocks noChangeAspect="1"/>
        </xdr:cNvPicPr>
      </xdr:nvPicPr>
      <xdr:blipFill>
        <a:blip xmlns:r="http://schemas.openxmlformats.org/officeDocument/2006/relationships" r:embed="rId1"/>
        <a:stretch>
          <a:fillRect/>
        </a:stretch>
      </xdr:blipFill>
      <xdr:spPr>
        <a:xfrm>
          <a:off x="15934651" y="4425759"/>
          <a:ext cx="5122718" cy="7163614"/>
        </a:xfrm>
        <a:prstGeom prst="rect">
          <a:avLst/>
        </a:prstGeom>
      </xdr:spPr>
    </xdr:pic>
    <xdr:clientData/>
  </xdr:twoCellAnchor>
  <xdr:twoCellAnchor editAs="oneCell">
    <xdr:from>
      <xdr:col>29</xdr:col>
      <xdr:colOff>508601</xdr:colOff>
      <xdr:row>24</xdr:row>
      <xdr:rowOff>163282</xdr:rowOff>
    </xdr:from>
    <xdr:to>
      <xdr:col>39</xdr:col>
      <xdr:colOff>22258</xdr:colOff>
      <xdr:row>51</xdr:row>
      <xdr:rowOff>152587</xdr:rowOff>
    </xdr:to>
    <xdr:pic>
      <xdr:nvPicPr>
        <xdr:cNvPr id="4" name="Immagine 3">
          <a:extLst>
            <a:ext uri="{FF2B5EF4-FFF2-40B4-BE49-F238E27FC236}">
              <a16:creationId xmlns:a16="http://schemas.microsoft.com/office/drawing/2014/main" id="{B226D840-675D-745B-7AC5-A1AC54752467}"/>
            </a:ext>
          </a:extLst>
        </xdr:cNvPr>
        <xdr:cNvPicPr>
          <a:picLocks noChangeAspect="1"/>
        </xdr:cNvPicPr>
      </xdr:nvPicPr>
      <xdr:blipFill>
        <a:blip xmlns:r="http://schemas.openxmlformats.org/officeDocument/2006/relationships" r:embed="rId2"/>
        <a:stretch>
          <a:fillRect/>
        </a:stretch>
      </xdr:blipFill>
      <xdr:spPr>
        <a:xfrm>
          <a:off x="32467942" y="5536359"/>
          <a:ext cx="7747723" cy="5641503"/>
        </a:xfrm>
        <a:prstGeom prst="rect">
          <a:avLst/>
        </a:prstGeom>
      </xdr:spPr>
    </xdr:pic>
    <xdr:clientData/>
  </xdr:twoCellAnchor>
  <xdr:twoCellAnchor editAs="oneCell">
    <xdr:from>
      <xdr:col>33</xdr:col>
      <xdr:colOff>537419</xdr:colOff>
      <xdr:row>4</xdr:row>
      <xdr:rowOff>212176</xdr:rowOff>
    </xdr:from>
    <xdr:to>
      <xdr:col>43</xdr:col>
      <xdr:colOff>43171</xdr:colOff>
      <xdr:row>26</xdr:row>
      <xdr:rowOff>81664</xdr:rowOff>
    </xdr:to>
    <xdr:pic>
      <xdr:nvPicPr>
        <xdr:cNvPr id="5" name="Immagine 4">
          <a:extLst>
            <a:ext uri="{FF2B5EF4-FFF2-40B4-BE49-F238E27FC236}">
              <a16:creationId xmlns:a16="http://schemas.microsoft.com/office/drawing/2014/main" id="{BEA246BC-789C-1ACE-6D75-1ED70459A070}"/>
            </a:ext>
          </a:extLst>
        </xdr:cNvPr>
        <xdr:cNvPicPr>
          <a:picLocks noChangeAspect="1"/>
        </xdr:cNvPicPr>
      </xdr:nvPicPr>
      <xdr:blipFill>
        <a:blip xmlns:r="http://schemas.openxmlformats.org/officeDocument/2006/relationships" r:embed="rId3"/>
        <a:stretch>
          <a:fillRect/>
        </a:stretch>
      </xdr:blipFill>
      <xdr:spPr>
        <a:xfrm>
          <a:off x="35761243" y="1071294"/>
          <a:ext cx="7723399" cy="4818752"/>
        </a:xfrm>
        <a:prstGeom prst="rect">
          <a:avLst/>
        </a:prstGeom>
      </xdr:spPr>
    </xdr:pic>
    <xdr:clientData/>
  </xdr:twoCellAnchor>
  <xdr:twoCellAnchor editAs="oneCell">
    <xdr:from>
      <xdr:col>2</xdr:col>
      <xdr:colOff>797442</xdr:colOff>
      <xdr:row>37</xdr:row>
      <xdr:rowOff>88604</xdr:rowOff>
    </xdr:from>
    <xdr:to>
      <xdr:col>11</xdr:col>
      <xdr:colOff>202610</xdr:colOff>
      <xdr:row>65</xdr:row>
      <xdr:rowOff>8626</xdr:rowOff>
    </xdr:to>
    <xdr:pic>
      <xdr:nvPicPr>
        <xdr:cNvPr id="8" name="Immagine 7">
          <a:extLst>
            <a:ext uri="{FF2B5EF4-FFF2-40B4-BE49-F238E27FC236}">
              <a16:creationId xmlns:a16="http://schemas.microsoft.com/office/drawing/2014/main" id="{4C69E4BB-141F-ECCC-A7CD-8F01D2DF04CF}"/>
            </a:ext>
          </a:extLst>
        </xdr:cNvPr>
        <xdr:cNvPicPr>
          <a:picLocks noChangeAspect="1"/>
        </xdr:cNvPicPr>
      </xdr:nvPicPr>
      <xdr:blipFill>
        <a:blip xmlns:r="http://schemas.openxmlformats.org/officeDocument/2006/relationships" r:embed="rId4"/>
        <a:stretch>
          <a:fillRect/>
        </a:stretch>
      </xdr:blipFill>
      <xdr:spPr>
        <a:xfrm>
          <a:off x="6807791" y="8033488"/>
          <a:ext cx="7772400" cy="5738394"/>
        </a:xfrm>
        <a:prstGeom prst="rect">
          <a:avLst/>
        </a:prstGeom>
      </xdr:spPr>
    </xdr:pic>
    <xdr:clientData/>
  </xdr:twoCellAnchor>
  <xdr:twoCellAnchor editAs="oneCell">
    <xdr:from>
      <xdr:col>67</xdr:col>
      <xdr:colOff>708212</xdr:colOff>
      <xdr:row>62</xdr:row>
      <xdr:rowOff>175560</xdr:rowOff>
    </xdr:from>
    <xdr:to>
      <xdr:col>73</xdr:col>
      <xdr:colOff>784412</xdr:colOff>
      <xdr:row>102</xdr:row>
      <xdr:rowOff>175560</xdr:rowOff>
    </xdr:to>
    <xdr:pic>
      <xdr:nvPicPr>
        <xdr:cNvPr id="10" name="Immagine 9">
          <a:extLst>
            <a:ext uri="{FF2B5EF4-FFF2-40B4-BE49-F238E27FC236}">
              <a16:creationId xmlns:a16="http://schemas.microsoft.com/office/drawing/2014/main" id="{D5B4AC1D-B5CB-FDB2-68A1-3EF05BBEA425}"/>
            </a:ext>
          </a:extLst>
        </xdr:cNvPr>
        <xdr:cNvPicPr>
          <a:picLocks noChangeAspect="1"/>
        </xdr:cNvPicPr>
      </xdr:nvPicPr>
      <xdr:blipFill>
        <a:blip xmlns:r="http://schemas.openxmlformats.org/officeDocument/2006/relationships" r:embed="rId5"/>
        <a:stretch>
          <a:fillRect/>
        </a:stretch>
      </xdr:blipFill>
      <xdr:spPr>
        <a:xfrm>
          <a:off x="63872036" y="13884089"/>
          <a:ext cx="5006788" cy="8217647"/>
        </a:xfrm>
        <a:prstGeom prst="rect">
          <a:avLst/>
        </a:prstGeom>
      </xdr:spPr>
    </xdr:pic>
    <xdr:clientData/>
  </xdr:twoCellAnchor>
  <xdr:twoCellAnchor editAs="oneCell">
    <xdr:from>
      <xdr:col>55</xdr:col>
      <xdr:colOff>270442</xdr:colOff>
      <xdr:row>70</xdr:row>
      <xdr:rowOff>2033</xdr:rowOff>
    </xdr:from>
    <xdr:to>
      <xdr:col>64</xdr:col>
      <xdr:colOff>620903</xdr:colOff>
      <xdr:row>89</xdr:row>
      <xdr:rowOff>26054</xdr:rowOff>
    </xdr:to>
    <xdr:pic>
      <xdr:nvPicPr>
        <xdr:cNvPr id="12" name="Immagine 11">
          <a:extLst>
            <a:ext uri="{FF2B5EF4-FFF2-40B4-BE49-F238E27FC236}">
              <a16:creationId xmlns:a16="http://schemas.microsoft.com/office/drawing/2014/main" id="{A7BEEA28-B4E8-9A31-B451-C00E4CB88998}"/>
            </a:ext>
          </a:extLst>
        </xdr:cNvPr>
        <xdr:cNvPicPr>
          <a:picLocks noChangeAspect="1"/>
        </xdr:cNvPicPr>
      </xdr:nvPicPr>
      <xdr:blipFill>
        <a:blip xmlns:r="http://schemas.openxmlformats.org/officeDocument/2006/relationships" r:embed="rId6"/>
        <a:stretch>
          <a:fillRect/>
        </a:stretch>
      </xdr:blipFill>
      <xdr:spPr>
        <a:xfrm>
          <a:off x="55088639" y="14929738"/>
          <a:ext cx="7845543" cy="3979759"/>
        </a:xfrm>
        <a:prstGeom prst="rect">
          <a:avLst/>
        </a:prstGeom>
      </xdr:spPr>
    </xdr:pic>
    <xdr:clientData/>
  </xdr:twoCellAnchor>
  <xdr:twoCellAnchor editAs="oneCell">
    <xdr:from>
      <xdr:col>36</xdr:col>
      <xdr:colOff>352686</xdr:colOff>
      <xdr:row>78</xdr:row>
      <xdr:rowOff>117840</xdr:rowOff>
    </xdr:from>
    <xdr:to>
      <xdr:col>45</xdr:col>
      <xdr:colOff>132233</xdr:colOff>
      <xdr:row>95</xdr:row>
      <xdr:rowOff>139037</xdr:rowOff>
    </xdr:to>
    <xdr:pic>
      <xdr:nvPicPr>
        <xdr:cNvPr id="9" name="Immagine 8">
          <a:extLst>
            <a:ext uri="{FF2B5EF4-FFF2-40B4-BE49-F238E27FC236}">
              <a16:creationId xmlns:a16="http://schemas.microsoft.com/office/drawing/2014/main" id="{98E4444E-C2D8-16C6-8B88-41F27E494BA5}"/>
            </a:ext>
          </a:extLst>
        </xdr:cNvPr>
        <xdr:cNvPicPr>
          <a:picLocks noChangeAspect="1"/>
        </xdr:cNvPicPr>
      </xdr:nvPicPr>
      <xdr:blipFill>
        <a:blip xmlns:r="http://schemas.openxmlformats.org/officeDocument/2006/relationships" r:embed="rId7"/>
        <a:stretch>
          <a:fillRect/>
        </a:stretch>
      </xdr:blipFill>
      <xdr:spPr>
        <a:xfrm>
          <a:off x="38122486" y="16488140"/>
          <a:ext cx="7209047" cy="3475597"/>
        </a:xfrm>
        <a:prstGeom prst="rect">
          <a:avLst/>
        </a:prstGeom>
      </xdr:spPr>
    </xdr:pic>
    <xdr:clientData/>
  </xdr:twoCellAnchor>
  <xdr:twoCellAnchor editAs="oneCell">
    <xdr:from>
      <xdr:col>13</xdr:col>
      <xdr:colOff>1924</xdr:colOff>
      <xdr:row>20</xdr:row>
      <xdr:rowOff>38486</xdr:rowOff>
    </xdr:from>
    <xdr:to>
      <xdr:col>19</xdr:col>
      <xdr:colOff>56187</xdr:colOff>
      <xdr:row>54</xdr:row>
      <xdr:rowOff>55464</xdr:rowOff>
    </xdr:to>
    <xdr:pic>
      <xdr:nvPicPr>
        <xdr:cNvPr id="2" name="Immagine 1">
          <a:extLst>
            <a:ext uri="{FF2B5EF4-FFF2-40B4-BE49-F238E27FC236}">
              <a16:creationId xmlns:a16="http://schemas.microsoft.com/office/drawing/2014/main" id="{35D27B0A-A3AF-A04D-9C9E-95A763048E75}"/>
            </a:ext>
          </a:extLst>
        </xdr:cNvPr>
        <xdr:cNvPicPr>
          <a:picLocks noChangeAspect="1"/>
        </xdr:cNvPicPr>
      </xdr:nvPicPr>
      <xdr:blipFill>
        <a:blip xmlns:r="http://schemas.openxmlformats.org/officeDocument/2006/relationships" r:embed="rId1"/>
        <a:stretch>
          <a:fillRect/>
        </a:stretch>
      </xdr:blipFill>
      <xdr:spPr>
        <a:xfrm>
          <a:off x="16016624" y="4534286"/>
          <a:ext cx="5096163" cy="7014678"/>
        </a:xfrm>
        <a:prstGeom prst="rect">
          <a:avLst/>
        </a:prstGeom>
      </xdr:spPr>
    </xdr:pic>
    <xdr:clientData/>
  </xdr:twoCellAnchor>
  <xdr:twoCellAnchor editAs="oneCell">
    <xdr:from>
      <xdr:col>29</xdr:col>
      <xdr:colOff>508601</xdr:colOff>
      <xdr:row>24</xdr:row>
      <xdr:rowOff>163282</xdr:rowOff>
    </xdr:from>
    <xdr:to>
      <xdr:col>39</xdr:col>
      <xdr:colOff>22258</xdr:colOff>
      <xdr:row>51</xdr:row>
      <xdr:rowOff>152587</xdr:rowOff>
    </xdr:to>
    <xdr:pic>
      <xdr:nvPicPr>
        <xdr:cNvPr id="6" name="Immagine 5">
          <a:extLst>
            <a:ext uri="{FF2B5EF4-FFF2-40B4-BE49-F238E27FC236}">
              <a16:creationId xmlns:a16="http://schemas.microsoft.com/office/drawing/2014/main" id="{98977EB5-F854-6749-8D4B-AE4593E9CCC4}"/>
            </a:ext>
          </a:extLst>
        </xdr:cNvPr>
        <xdr:cNvPicPr>
          <a:picLocks noChangeAspect="1"/>
        </xdr:cNvPicPr>
      </xdr:nvPicPr>
      <xdr:blipFill>
        <a:blip xmlns:r="http://schemas.openxmlformats.org/officeDocument/2006/relationships" r:embed="rId2"/>
        <a:stretch>
          <a:fillRect/>
        </a:stretch>
      </xdr:blipFill>
      <xdr:spPr>
        <a:xfrm>
          <a:off x="32499901" y="5497282"/>
          <a:ext cx="7768657" cy="5513805"/>
        </a:xfrm>
        <a:prstGeom prst="rect">
          <a:avLst/>
        </a:prstGeom>
      </xdr:spPr>
    </xdr:pic>
    <xdr:clientData/>
  </xdr:twoCellAnchor>
  <xdr:twoCellAnchor editAs="oneCell">
    <xdr:from>
      <xdr:col>33</xdr:col>
      <xdr:colOff>537419</xdr:colOff>
      <xdr:row>4</xdr:row>
      <xdr:rowOff>212176</xdr:rowOff>
    </xdr:from>
    <xdr:to>
      <xdr:col>43</xdr:col>
      <xdr:colOff>43171</xdr:colOff>
      <xdr:row>26</xdr:row>
      <xdr:rowOff>81664</xdr:rowOff>
    </xdr:to>
    <xdr:pic>
      <xdr:nvPicPr>
        <xdr:cNvPr id="7" name="Immagine 6">
          <a:extLst>
            <a:ext uri="{FF2B5EF4-FFF2-40B4-BE49-F238E27FC236}">
              <a16:creationId xmlns:a16="http://schemas.microsoft.com/office/drawing/2014/main" id="{9BEEF93A-2B8E-AE4E-A723-6083EC8A0569}"/>
            </a:ext>
          </a:extLst>
        </xdr:cNvPr>
        <xdr:cNvPicPr>
          <a:picLocks noChangeAspect="1"/>
        </xdr:cNvPicPr>
      </xdr:nvPicPr>
      <xdr:blipFill>
        <a:blip xmlns:r="http://schemas.openxmlformats.org/officeDocument/2006/relationships" r:embed="rId3"/>
        <a:stretch>
          <a:fillRect/>
        </a:stretch>
      </xdr:blipFill>
      <xdr:spPr>
        <a:xfrm>
          <a:off x="35830719" y="1063076"/>
          <a:ext cx="7760752" cy="4758988"/>
        </a:xfrm>
        <a:prstGeom prst="rect">
          <a:avLst/>
        </a:prstGeom>
      </xdr:spPr>
    </xdr:pic>
    <xdr:clientData/>
  </xdr:twoCellAnchor>
  <xdr:twoCellAnchor editAs="oneCell">
    <xdr:from>
      <xdr:col>2</xdr:col>
      <xdr:colOff>797442</xdr:colOff>
      <xdr:row>37</xdr:row>
      <xdr:rowOff>88604</xdr:rowOff>
    </xdr:from>
    <xdr:to>
      <xdr:col>11</xdr:col>
      <xdr:colOff>202610</xdr:colOff>
      <xdr:row>65</xdr:row>
      <xdr:rowOff>8626</xdr:rowOff>
    </xdr:to>
    <xdr:pic>
      <xdr:nvPicPr>
        <xdr:cNvPr id="11" name="Immagine 10">
          <a:extLst>
            <a:ext uri="{FF2B5EF4-FFF2-40B4-BE49-F238E27FC236}">
              <a16:creationId xmlns:a16="http://schemas.microsoft.com/office/drawing/2014/main" id="{B669F75C-19C4-BF49-B9A7-280219421112}"/>
            </a:ext>
          </a:extLst>
        </xdr:cNvPr>
        <xdr:cNvPicPr>
          <a:picLocks noChangeAspect="1"/>
        </xdr:cNvPicPr>
      </xdr:nvPicPr>
      <xdr:blipFill>
        <a:blip xmlns:r="http://schemas.openxmlformats.org/officeDocument/2006/relationships" r:embed="rId4"/>
        <a:stretch>
          <a:fillRect/>
        </a:stretch>
      </xdr:blipFill>
      <xdr:spPr>
        <a:xfrm>
          <a:off x="6804542" y="8102304"/>
          <a:ext cx="7761768" cy="5635022"/>
        </a:xfrm>
        <a:prstGeom prst="rect">
          <a:avLst/>
        </a:prstGeom>
      </xdr:spPr>
    </xdr:pic>
    <xdr:clientData/>
  </xdr:twoCellAnchor>
  <xdr:twoCellAnchor editAs="oneCell">
    <xdr:from>
      <xdr:col>67</xdr:col>
      <xdr:colOff>708212</xdr:colOff>
      <xdr:row>62</xdr:row>
      <xdr:rowOff>175560</xdr:rowOff>
    </xdr:from>
    <xdr:to>
      <xdr:col>73</xdr:col>
      <xdr:colOff>784412</xdr:colOff>
      <xdr:row>102</xdr:row>
      <xdr:rowOff>175560</xdr:rowOff>
    </xdr:to>
    <xdr:pic>
      <xdr:nvPicPr>
        <xdr:cNvPr id="13" name="Immagine 12">
          <a:extLst>
            <a:ext uri="{FF2B5EF4-FFF2-40B4-BE49-F238E27FC236}">
              <a16:creationId xmlns:a16="http://schemas.microsoft.com/office/drawing/2014/main" id="{70719E98-AA16-E34D-AD08-732E14749C3A}"/>
            </a:ext>
          </a:extLst>
        </xdr:cNvPr>
        <xdr:cNvPicPr>
          <a:picLocks noChangeAspect="1"/>
        </xdr:cNvPicPr>
      </xdr:nvPicPr>
      <xdr:blipFill>
        <a:blip xmlns:r="http://schemas.openxmlformats.org/officeDocument/2006/relationships" r:embed="rId5"/>
        <a:stretch>
          <a:fillRect/>
        </a:stretch>
      </xdr:blipFill>
      <xdr:spPr>
        <a:xfrm>
          <a:off x="65109912" y="13294660"/>
          <a:ext cx="5029200" cy="8128000"/>
        </a:xfrm>
        <a:prstGeom prst="rect">
          <a:avLst/>
        </a:prstGeom>
      </xdr:spPr>
    </xdr:pic>
    <xdr:clientData/>
  </xdr:twoCellAnchor>
  <xdr:twoCellAnchor editAs="oneCell">
    <xdr:from>
      <xdr:col>53</xdr:col>
      <xdr:colOff>808670</xdr:colOff>
      <xdr:row>46</xdr:row>
      <xdr:rowOff>11441</xdr:rowOff>
    </xdr:from>
    <xdr:to>
      <xdr:col>63</xdr:col>
      <xdr:colOff>331279</xdr:colOff>
      <xdr:row>65</xdr:row>
      <xdr:rowOff>16646</xdr:rowOff>
    </xdr:to>
    <xdr:pic>
      <xdr:nvPicPr>
        <xdr:cNvPr id="14" name="Immagine 13">
          <a:extLst>
            <a:ext uri="{FF2B5EF4-FFF2-40B4-BE49-F238E27FC236}">
              <a16:creationId xmlns:a16="http://schemas.microsoft.com/office/drawing/2014/main" id="{48F31548-469F-DC44-86C2-D6B430F8AA10}"/>
            </a:ext>
          </a:extLst>
        </xdr:cNvPr>
        <xdr:cNvPicPr>
          <a:picLocks noChangeAspect="1"/>
        </xdr:cNvPicPr>
      </xdr:nvPicPr>
      <xdr:blipFill>
        <a:blip xmlns:r="http://schemas.openxmlformats.org/officeDocument/2006/relationships" r:embed="rId6"/>
        <a:stretch>
          <a:fillRect/>
        </a:stretch>
      </xdr:blipFill>
      <xdr:spPr>
        <a:xfrm>
          <a:off x="53653370" y="9853941"/>
          <a:ext cx="7777609" cy="3891405"/>
        </a:xfrm>
        <a:prstGeom prst="rect">
          <a:avLst/>
        </a:prstGeom>
      </xdr:spPr>
    </xdr:pic>
    <xdr:clientData/>
  </xdr:twoCellAnchor>
  <xdr:twoCellAnchor editAs="oneCell">
    <xdr:from>
      <xdr:col>13</xdr:col>
      <xdr:colOff>1924</xdr:colOff>
      <xdr:row>20</xdr:row>
      <xdr:rowOff>38486</xdr:rowOff>
    </xdr:from>
    <xdr:to>
      <xdr:col>19</xdr:col>
      <xdr:colOff>56187</xdr:colOff>
      <xdr:row>54</xdr:row>
      <xdr:rowOff>55464</xdr:rowOff>
    </xdr:to>
    <xdr:pic>
      <xdr:nvPicPr>
        <xdr:cNvPr id="15" name="Immagine 14">
          <a:extLst>
            <a:ext uri="{FF2B5EF4-FFF2-40B4-BE49-F238E27FC236}">
              <a16:creationId xmlns:a16="http://schemas.microsoft.com/office/drawing/2014/main" id="{AB89A2D5-B8B3-4B8C-A87D-12237747239F}"/>
            </a:ext>
          </a:extLst>
        </xdr:cNvPr>
        <xdr:cNvPicPr>
          <a:picLocks noChangeAspect="1"/>
        </xdr:cNvPicPr>
      </xdr:nvPicPr>
      <xdr:blipFill>
        <a:blip xmlns:r="http://schemas.openxmlformats.org/officeDocument/2006/relationships" r:embed="rId1"/>
        <a:stretch>
          <a:fillRect/>
        </a:stretch>
      </xdr:blipFill>
      <xdr:spPr>
        <a:xfrm>
          <a:off x="16016624" y="4381886"/>
          <a:ext cx="5096163" cy="6754328"/>
        </a:xfrm>
        <a:prstGeom prst="rect">
          <a:avLst/>
        </a:prstGeom>
      </xdr:spPr>
    </xdr:pic>
    <xdr:clientData/>
  </xdr:twoCellAnchor>
  <xdr:twoCellAnchor editAs="oneCell">
    <xdr:from>
      <xdr:col>29</xdr:col>
      <xdr:colOff>508601</xdr:colOff>
      <xdr:row>24</xdr:row>
      <xdr:rowOff>163282</xdr:rowOff>
    </xdr:from>
    <xdr:to>
      <xdr:col>39</xdr:col>
      <xdr:colOff>22258</xdr:colOff>
      <xdr:row>51</xdr:row>
      <xdr:rowOff>152587</xdr:rowOff>
    </xdr:to>
    <xdr:pic>
      <xdr:nvPicPr>
        <xdr:cNvPr id="16" name="Immagine 15">
          <a:extLst>
            <a:ext uri="{FF2B5EF4-FFF2-40B4-BE49-F238E27FC236}">
              <a16:creationId xmlns:a16="http://schemas.microsoft.com/office/drawing/2014/main" id="{F9121EEC-0DE8-4FEC-8993-584E1829FA40}"/>
            </a:ext>
          </a:extLst>
        </xdr:cNvPr>
        <xdr:cNvPicPr>
          <a:picLocks noChangeAspect="1"/>
        </xdr:cNvPicPr>
      </xdr:nvPicPr>
      <xdr:blipFill>
        <a:blip xmlns:r="http://schemas.openxmlformats.org/officeDocument/2006/relationships" r:embed="rId2"/>
        <a:stretch>
          <a:fillRect/>
        </a:stretch>
      </xdr:blipFill>
      <xdr:spPr>
        <a:xfrm>
          <a:off x="32499901" y="5306782"/>
          <a:ext cx="7768657" cy="5323305"/>
        </a:xfrm>
        <a:prstGeom prst="rect">
          <a:avLst/>
        </a:prstGeom>
      </xdr:spPr>
    </xdr:pic>
    <xdr:clientData/>
  </xdr:twoCellAnchor>
  <xdr:twoCellAnchor editAs="oneCell">
    <xdr:from>
      <xdr:col>33</xdr:col>
      <xdr:colOff>537419</xdr:colOff>
      <xdr:row>4</xdr:row>
      <xdr:rowOff>212176</xdr:rowOff>
    </xdr:from>
    <xdr:to>
      <xdr:col>43</xdr:col>
      <xdr:colOff>43171</xdr:colOff>
      <xdr:row>26</xdr:row>
      <xdr:rowOff>81664</xdr:rowOff>
    </xdr:to>
    <xdr:pic>
      <xdr:nvPicPr>
        <xdr:cNvPr id="17" name="Immagine 16">
          <a:extLst>
            <a:ext uri="{FF2B5EF4-FFF2-40B4-BE49-F238E27FC236}">
              <a16:creationId xmlns:a16="http://schemas.microsoft.com/office/drawing/2014/main" id="{9DF88BE5-6B04-4B53-96A4-4391BFB9BDCB}"/>
            </a:ext>
          </a:extLst>
        </xdr:cNvPr>
        <xdr:cNvPicPr>
          <a:picLocks noChangeAspect="1"/>
        </xdr:cNvPicPr>
      </xdr:nvPicPr>
      <xdr:blipFill>
        <a:blip xmlns:r="http://schemas.openxmlformats.org/officeDocument/2006/relationships" r:embed="rId3"/>
        <a:stretch>
          <a:fillRect/>
        </a:stretch>
      </xdr:blipFill>
      <xdr:spPr>
        <a:xfrm>
          <a:off x="35830719" y="1018626"/>
          <a:ext cx="7760752" cy="4600238"/>
        </a:xfrm>
        <a:prstGeom prst="rect">
          <a:avLst/>
        </a:prstGeom>
      </xdr:spPr>
    </xdr:pic>
    <xdr:clientData/>
  </xdr:twoCellAnchor>
  <xdr:twoCellAnchor editAs="oneCell">
    <xdr:from>
      <xdr:col>2</xdr:col>
      <xdr:colOff>797442</xdr:colOff>
      <xdr:row>37</xdr:row>
      <xdr:rowOff>88604</xdr:rowOff>
    </xdr:from>
    <xdr:to>
      <xdr:col>11</xdr:col>
      <xdr:colOff>202610</xdr:colOff>
      <xdr:row>65</xdr:row>
      <xdr:rowOff>8626</xdr:rowOff>
    </xdr:to>
    <xdr:pic>
      <xdr:nvPicPr>
        <xdr:cNvPr id="18" name="Immagine 17">
          <a:extLst>
            <a:ext uri="{FF2B5EF4-FFF2-40B4-BE49-F238E27FC236}">
              <a16:creationId xmlns:a16="http://schemas.microsoft.com/office/drawing/2014/main" id="{E916FFA3-9090-451F-8276-D703DE9108C4}"/>
            </a:ext>
          </a:extLst>
        </xdr:cNvPr>
        <xdr:cNvPicPr>
          <a:picLocks noChangeAspect="1"/>
        </xdr:cNvPicPr>
      </xdr:nvPicPr>
      <xdr:blipFill>
        <a:blip xmlns:r="http://schemas.openxmlformats.org/officeDocument/2006/relationships" r:embed="rId4"/>
        <a:stretch>
          <a:fillRect/>
        </a:stretch>
      </xdr:blipFill>
      <xdr:spPr>
        <a:xfrm>
          <a:off x="6804542" y="7810204"/>
          <a:ext cx="7761768" cy="5444522"/>
        </a:xfrm>
        <a:prstGeom prst="rect">
          <a:avLst/>
        </a:prstGeom>
      </xdr:spPr>
    </xdr:pic>
    <xdr:clientData/>
  </xdr:twoCellAnchor>
  <xdr:twoCellAnchor editAs="oneCell">
    <xdr:from>
      <xdr:col>67</xdr:col>
      <xdr:colOff>708212</xdr:colOff>
      <xdr:row>62</xdr:row>
      <xdr:rowOff>175560</xdr:rowOff>
    </xdr:from>
    <xdr:to>
      <xdr:col>73</xdr:col>
      <xdr:colOff>784412</xdr:colOff>
      <xdr:row>102</xdr:row>
      <xdr:rowOff>175560</xdr:rowOff>
    </xdr:to>
    <xdr:pic>
      <xdr:nvPicPr>
        <xdr:cNvPr id="19" name="Immagine 18">
          <a:extLst>
            <a:ext uri="{FF2B5EF4-FFF2-40B4-BE49-F238E27FC236}">
              <a16:creationId xmlns:a16="http://schemas.microsoft.com/office/drawing/2014/main" id="{2EA5AE4E-085C-436D-8A70-FD8ED6A63CA8}"/>
            </a:ext>
          </a:extLst>
        </xdr:cNvPr>
        <xdr:cNvPicPr>
          <a:picLocks noChangeAspect="1"/>
        </xdr:cNvPicPr>
      </xdr:nvPicPr>
      <xdr:blipFill>
        <a:blip xmlns:r="http://schemas.openxmlformats.org/officeDocument/2006/relationships" r:embed="rId5"/>
        <a:stretch>
          <a:fillRect/>
        </a:stretch>
      </xdr:blipFill>
      <xdr:spPr>
        <a:xfrm>
          <a:off x="65109912" y="12831110"/>
          <a:ext cx="5029200" cy="7874000"/>
        </a:xfrm>
        <a:prstGeom prst="rect">
          <a:avLst/>
        </a:prstGeom>
      </xdr:spPr>
    </xdr:pic>
    <xdr:clientData/>
  </xdr:twoCellAnchor>
  <xdr:twoCellAnchor editAs="oneCell">
    <xdr:from>
      <xdr:col>53</xdr:col>
      <xdr:colOff>808670</xdr:colOff>
      <xdr:row>46</xdr:row>
      <xdr:rowOff>11441</xdr:rowOff>
    </xdr:from>
    <xdr:to>
      <xdr:col>63</xdr:col>
      <xdr:colOff>331279</xdr:colOff>
      <xdr:row>65</xdr:row>
      <xdr:rowOff>16646</xdr:rowOff>
    </xdr:to>
    <xdr:pic>
      <xdr:nvPicPr>
        <xdr:cNvPr id="20" name="Immagine 19">
          <a:extLst>
            <a:ext uri="{FF2B5EF4-FFF2-40B4-BE49-F238E27FC236}">
              <a16:creationId xmlns:a16="http://schemas.microsoft.com/office/drawing/2014/main" id="{21973548-E607-400B-9F46-154D2968D385}"/>
            </a:ext>
          </a:extLst>
        </xdr:cNvPr>
        <xdr:cNvPicPr>
          <a:picLocks noChangeAspect="1"/>
        </xdr:cNvPicPr>
      </xdr:nvPicPr>
      <xdr:blipFill>
        <a:blip xmlns:r="http://schemas.openxmlformats.org/officeDocument/2006/relationships" r:embed="rId6"/>
        <a:stretch>
          <a:fillRect/>
        </a:stretch>
      </xdr:blipFill>
      <xdr:spPr>
        <a:xfrm>
          <a:off x="53653370" y="9504691"/>
          <a:ext cx="7777609" cy="3758055"/>
        </a:xfrm>
        <a:prstGeom prst="rect">
          <a:avLst/>
        </a:prstGeom>
      </xdr:spPr>
    </xdr:pic>
    <xdr:clientData/>
  </xdr:twoCellAnchor>
  <xdr:twoCellAnchor editAs="oneCell">
    <xdr:from>
      <xdr:col>13</xdr:col>
      <xdr:colOff>1924</xdr:colOff>
      <xdr:row>20</xdr:row>
      <xdr:rowOff>38486</xdr:rowOff>
    </xdr:from>
    <xdr:to>
      <xdr:col>19</xdr:col>
      <xdr:colOff>56187</xdr:colOff>
      <xdr:row>54</xdr:row>
      <xdr:rowOff>55464</xdr:rowOff>
    </xdr:to>
    <xdr:pic>
      <xdr:nvPicPr>
        <xdr:cNvPr id="21" name="Immagine 20">
          <a:extLst>
            <a:ext uri="{FF2B5EF4-FFF2-40B4-BE49-F238E27FC236}">
              <a16:creationId xmlns:a16="http://schemas.microsoft.com/office/drawing/2014/main" id="{F938DE68-4750-4856-A1BE-3FA360913122}"/>
            </a:ext>
          </a:extLst>
        </xdr:cNvPr>
        <xdr:cNvPicPr>
          <a:picLocks noChangeAspect="1"/>
        </xdr:cNvPicPr>
      </xdr:nvPicPr>
      <xdr:blipFill>
        <a:blip xmlns:r="http://schemas.openxmlformats.org/officeDocument/2006/relationships" r:embed="rId1"/>
        <a:stretch>
          <a:fillRect/>
        </a:stretch>
      </xdr:blipFill>
      <xdr:spPr>
        <a:xfrm>
          <a:off x="16016624" y="4381886"/>
          <a:ext cx="5096163" cy="6754328"/>
        </a:xfrm>
        <a:prstGeom prst="rect">
          <a:avLst/>
        </a:prstGeom>
      </xdr:spPr>
    </xdr:pic>
    <xdr:clientData/>
  </xdr:twoCellAnchor>
  <xdr:twoCellAnchor editAs="oneCell">
    <xdr:from>
      <xdr:col>29</xdr:col>
      <xdr:colOff>508601</xdr:colOff>
      <xdr:row>24</xdr:row>
      <xdr:rowOff>163282</xdr:rowOff>
    </xdr:from>
    <xdr:to>
      <xdr:col>39</xdr:col>
      <xdr:colOff>22258</xdr:colOff>
      <xdr:row>51</xdr:row>
      <xdr:rowOff>152587</xdr:rowOff>
    </xdr:to>
    <xdr:pic>
      <xdr:nvPicPr>
        <xdr:cNvPr id="22" name="Immagine 21">
          <a:extLst>
            <a:ext uri="{FF2B5EF4-FFF2-40B4-BE49-F238E27FC236}">
              <a16:creationId xmlns:a16="http://schemas.microsoft.com/office/drawing/2014/main" id="{66A73D3C-900A-416C-B890-0493FEE412D3}"/>
            </a:ext>
          </a:extLst>
        </xdr:cNvPr>
        <xdr:cNvPicPr>
          <a:picLocks noChangeAspect="1"/>
        </xdr:cNvPicPr>
      </xdr:nvPicPr>
      <xdr:blipFill>
        <a:blip xmlns:r="http://schemas.openxmlformats.org/officeDocument/2006/relationships" r:embed="rId2"/>
        <a:stretch>
          <a:fillRect/>
        </a:stretch>
      </xdr:blipFill>
      <xdr:spPr>
        <a:xfrm>
          <a:off x="32499901" y="5306782"/>
          <a:ext cx="7768657" cy="5323305"/>
        </a:xfrm>
        <a:prstGeom prst="rect">
          <a:avLst/>
        </a:prstGeom>
      </xdr:spPr>
    </xdr:pic>
    <xdr:clientData/>
  </xdr:twoCellAnchor>
  <xdr:twoCellAnchor editAs="oneCell">
    <xdr:from>
      <xdr:col>33</xdr:col>
      <xdr:colOff>537419</xdr:colOff>
      <xdr:row>4</xdr:row>
      <xdr:rowOff>212176</xdr:rowOff>
    </xdr:from>
    <xdr:to>
      <xdr:col>43</xdr:col>
      <xdr:colOff>43171</xdr:colOff>
      <xdr:row>26</xdr:row>
      <xdr:rowOff>81664</xdr:rowOff>
    </xdr:to>
    <xdr:pic>
      <xdr:nvPicPr>
        <xdr:cNvPr id="23" name="Immagine 22">
          <a:extLst>
            <a:ext uri="{FF2B5EF4-FFF2-40B4-BE49-F238E27FC236}">
              <a16:creationId xmlns:a16="http://schemas.microsoft.com/office/drawing/2014/main" id="{3ED3A5D6-9AF6-474B-817D-6014F48A02E8}"/>
            </a:ext>
          </a:extLst>
        </xdr:cNvPr>
        <xdr:cNvPicPr>
          <a:picLocks noChangeAspect="1"/>
        </xdr:cNvPicPr>
      </xdr:nvPicPr>
      <xdr:blipFill>
        <a:blip xmlns:r="http://schemas.openxmlformats.org/officeDocument/2006/relationships" r:embed="rId3"/>
        <a:stretch>
          <a:fillRect/>
        </a:stretch>
      </xdr:blipFill>
      <xdr:spPr>
        <a:xfrm>
          <a:off x="35830719" y="1018626"/>
          <a:ext cx="7760752" cy="4600238"/>
        </a:xfrm>
        <a:prstGeom prst="rect">
          <a:avLst/>
        </a:prstGeom>
      </xdr:spPr>
    </xdr:pic>
    <xdr:clientData/>
  </xdr:twoCellAnchor>
  <xdr:twoCellAnchor editAs="oneCell">
    <xdr:from>
      <xdr:col>2</xdr:col>
      <xdr:colOff>797442</xdr:colOff>
      <xdr:row>37</xdr:row>
      <xdr:rowOff>88604</xdr:rowOff>
    </xdr:from>
    <xdr:to>
      <xdr:col>11</xdr:col>
      <xdr:colOff>202610</xdr:colOff>
      <xdr:row>65</xdr:row>
      <xdr:rowOff>8626</xdr:rowOff>
    </xdr:to>
    <xdr:pic>
      <xdr:nvPicPr>
        <xdr:cNvPr id="24" name="Immagine 23">
          <a:extLst>
            <a:ext uri="{FF2B5EF4-FFF2-40B4-BE49-F238E27FC236}">
              <a16:creationId xmlns:a16="http://schemas.microsoft.com/office/drawing/2014/main" id="{3331468C-02CF-4790-98A0-5BB6E7225007}"/>
            </a:ext>
          </a:extLst>
        </xdr:cNvPr>
        <xdr:cNvPicPr>
          <a:picLocks noChangeAspect="1"/>
        </xdr:cNvPicPr>
      </xdr:nvPicPr>
      <xdr:blipFill>
        <a:blip xmlns:r="http://schemas.openxmlformats.org/officeDocument/2006/relationships" r:embed="rId4"/>
        <a:stretch>
          <a:fillRect/>
        </a:stretch>
      </xdr:blipFill>
      <xdr:spPr>
        <a:xfrm>
          <a:off x="6804542" y="7810204"/>
          <a:ext cx="7761768" cy="5444522"/>
        </a:xfrm>
        <a:prstGeom prst="rect">
          <a:avLst/>
        </a:prstGeom>
      </xdr:spPr>
    </xdr:pic>
    <xdr:clientData/>
  </xdr:twoCellAnchor>
  <xdr:twoCellAnchor editAs="oneCell">
    <xdr:from>
      <xdr:col>67</xdr:col>
      <xdr:colOff>708212</xdr:colOff>
      <xdr:row>62</xdr:row>
      <xdr:rowOff>175560</xdr:rowOff>
    </xdr:from>
    <xdr:to>
      <xdr:col>73</xdr:col>
      <xdr:colOff>784412</xdr:colOff>
      <xdr:row>102</xdr:row>
      <xdr:rowOff>175560</xdr:rowOff>
    </xdr:to>
    <xdr:pic>
      <xdr:nvPicPr>
        <xdr:cNvPr id="25" name="Immagine 24">
          <a:extLst>
            <a:ext uri="{FF2B5EF4-FFF2-40B4-BE49-F238E27FC236}">
              <a16:creationId xmlns:a16="http://schemas.microsoft.com/office/drawing/2014/main" id="{A9DD8FBA-E172-4EEB-84CB-B5E02FDAD814}"/>
            </a:ext>
          </a:extLst>
        </xdr:cNvPr>
        <xdr:cNvPicPr>
          <a:picLocks noChangeAspect="1"/>
        </xdr:cNvPicPr>
      </xdr:nvPicPr>
      <xdr:blipFill>
        <a:blip xmlns:r="http://schemas.openxmlformats.org/officeDocument/2006/relationships" r:embed="rId5"/>
        <a:stretch>
          <a:fillRect/>
        </a:stretch>
      </xdr:blipFill>
      <xdr:spPr>
        <a:xfrm>
          <a:off x="65109912" y="12831110"/>
          <a:ext cx="5029200" cy="7874000"/>
        </a:xfrm>
        <a:prstGeom prst="rect">
          <a:avLst/>
        </a:prstGeom>
      </xdr:spPr>
    </xdr:pic>
    <xdr:clientData/>
  </xdr:twoCellAnchor>
  <xdr:twoCellAnchor editAs="oneCell">
    <xdr:from>
      <xdr:col>53</xdr:col>
      <xdr:colOff>808670</xdr:colOff>
      <xdr:row>46</xdr:row>
      <xdr:rowOff>11441</xdr:rowOff>
    </xdr:from>
    <xdr:to>
      <xdr:col>63</xdr:col>
      <xdr:colOff>331279</xdr:colOff>
      <xdr:row>65</xdr:row>
      <xdr:rowOff>16646</xdr:rowOff>
    </xdr:to>
    <xdr:pic>
      <xdr:nvPicPr>
        <xdr:cNvPr id="26" name="Immagine 25">
          <a:extLst>
            <a:ext uri="{FF2B5EF4-FFF2-40B4-BE49-F238E27FC236}">
              <a16:creationId xmlns:a16="http://schemas.microsoft.com/office/drawing/2014/main" id="{187D0B07-CAB0-4214-91BC-D7411DE0B0C7}"/>
            </a:ext>
          </a:extLst>
        </xdr:cNvPr>
        <xdr:cNvPicPr>
          <a:picLocks noChangeAspect="1"/>
        </xdr:cNvPicPr>
      </xdr:nvPicPr>
      <xdr:blipFill>
        <a:blip xmlns:r="http://schemas.openxmlformats.org/officeDocument/2006/relationships" r:embed="rId6"/>
        <a:stretch>
          <a:fillRect/>
        </a:stretch>
      </xdr:blipFill>
      <xdr:spPr>
        <a:xfrm>
          <a:off x="53653370" y="9504691"/>
          <a:ext cx="7777609" cy="375805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13</xdr:col>
      <xdr:colOff>1924</xdr:colOff>
      <xdr:row>20</xdr:row>
      <xdr:rowOff>38486</xdr:rowOff>
    </xdr:from>
    <xdr:to>
      <xdr:col>19</xdr:col>
      <xdr:colOff>56187</xdr:colOff>
      <xdr:row>54</xdr:row>
      <xdr:rowOff>55464</xdr:rowOff>
    </xdr:to>
    <xdr:pic>
      <xdr:nvPicPr>
        <xdr:cNvPr id="2" name="Immagine 1">
          <a:extLst>
            <a:ext uri="{FF2B5EF4-FFF2-40B4-BE49-F238E27FC236}">
              <a16:creationId xmlns:a16="http://schemas.microsoft.com/office/drawing/2014/main" id="{C050AC1E-35B0-4EE2-A35B-6B73926886EF}"/>
            </a:ext>
          </a:extLst>
        </xdr:cNvPr>
        <xdr:cNvPicPr>
          <a:picLocks noChangeAspect="1"/>
        </xdr:cNvPicPr>
      </xdr:nvPicPr>
      <xdr:blipFill>
        <a:blip xmlns:r="http://schemas.openxmlformats.org/officeDocument/2006/relationships" r:embed="rId1"/>
        <a:stretch>
          <a:fillRect/>
        </a:stretch>
      </xdr:blipFill>
      <xdr:spPr>
        <a:xfrm>
          <a:off x="16067424" y="4381886"/>
          <a:ext cx="5127913" cy="6754328"/>
        </a:xfrm>
        <a:prstGeom prst="rect">
          <a:avLst/>
        </a:prstGeom>
      </xdr:spPr>
    </xdr:pic>
    <xdr:clientData/>
  </xdr:twoCellAnchor>
  <xdr:twoCellAnchor editAs="oneCell">
    <xdr:from>
      <xdr:col>29</xdr:col>
      <xdr:colOff>508601</xdr:colOff>
      <xdr:row>24</xdr:row>
      <xdr:rowOff>163282</xdr:rowOff>
    </xdr:from>
    <xdr:to>
      <xdr:col>39</xdr:col>
      <xdr:colOff>22258</xdr:colOff>
      <xdr:row>51</xdr:row>
      <xdr:rowOff>152587</xdr:rowOff>
    </xdr:to>
    <xdr:pic>
      <xdr:nvPicPr>
        <xdr:cNvPr id="3" name="Immagine 2">
          <a:extLst>
            <a:ext uri="{FF2B5EF4-FFF2-40B4-BE49-F238E27FC236}">
              <a16:creationId xmlns:a16="http://schemas.microsoft.com/office/drawing/2014/main" id="{B1736274-CE80-421E-AA39-603D3B6A5DAE}"/>
            </a:ext>
          </a:extLst>
        </xdr:cNvPr>
        <xdr:cNvPicPr>
          <a:picLocks noChangeAspect="1"/>
        </xdr:cNvPicPr>
      </xdr:nvPicPr>
      <xdr:blipFill>
        <a:blip xmlns:r="http://schemas.openxmlformats.org/officeDocument/2006/relationships" r:embed="rId2"/>
        <a:stretch>
          <a:fillRect/>
        </a:stretch>
      </xdr:blipFill>
      <xdr:spPr>
        <a:xfrm>
          <a:off x="32639601" y="5306782"/>
          <a:ext cx="7832157" cy="5323305"/>
        </a:xfrm>
        <a:prstGeom prst="rect">
          <a:avLst/>
        </a:prstGeom>
      </xdr:spPr>
    </xdr:pic>
    <xdr:clientData/>
  </xdr:twoCellAnchor>
  <xdr:twoCellAnchor editAs="oneCell">
    <xdr:from>
      <xdr:col>33</xdr:col>
      <xdr:colOff>537419</xdr:colOff>
      <xdr:row>4</xdr:row>
      <xdr:rowOff>212176</xdr:rowOff>
    </xdr:from>
    <xdr:to>
      <xdr:col>43</xdr:col>
      <xdr:colOff>43171</xdr:colOff>
      <xdr:row>26</xdr:row>
      <xdr:rowOff>81664</xdr:rowOff>
    </xdr:to>
    <xdr:pic>
      <xdr:nvPicPr>
        <xdr:cNvPr id="4" name="Immagine 3">
          <a:extLst>
            <a:ext uri="{FF2B5EF4-FFF2-40B4-BE49-F238E27FC236}">
              <a16:creationId xmlns:a16="http://schemas.microsoft.com/office/drawing/2014/main" id="{72E262C5-70F8-40E8-B1BA-80C202A00F79}"/>
            </a:ext>
          </a:extLst>
        </xdr:cNvPr>
        <xdr:cNvPicPr>
          <a:picLocks noChangeAspect="1"/>
        </xdr:cNvPicPr>
      </xdr:nvPicPr>
      <xdr:blipFill>
        <a:blip xmlns:r="http://schemas.openxmlformats.org/officeDocument/2006/relationships" r:embed="rId3"/>
        <a:stretch>
          <a:fillRect/>
        </a:stretch>
      </xdr:blipFill>
      <xdr:spPr>
        <a:xfrm>
          <a:off x="35995819" y="1018626"/>
          <a:ext cx="7824252" cy="4600238"/>
        </a:xfrm>
        <a:prstGeom prst="rect">
          <a:avLst/>
        </a:prstGeom>
      </xdr:spPr>
    </xdr:pic>
    <xdr:clientData/>
  </xdr:twoCellAnchor>
  <xdr:twoCellAnchor editAs="oneCell">
    <xdr:from>
      <xdr:col>2</xdr:col>
      <xdr:colOff>797442</xdr:colOff>
      <xdr:row>37</xdr:row>
      <xdr:rowOff>88604</xdr:rowOff>
    </xdr:from>
    <xdr:to>
      <xdr:col>11</xdr:col>
      <xdr:colOff>202610</xdr:colOff>
      <xdr:row>65</xdr:row>
      <xdr:rowOff>8626</xdr:rowOff>
    </xdr:to>
    <xdr:pic>
      <xdr:nvPicPr>
        <xdr:cNvPr id="5" name="Immagine 4">
          <a:extLst>
            <a:ext uri="{FF2B5EF4-FFF2-40B4-BE49-F238E27FC236}">
              <a16:creationId xmlns:a16="http://schemas.microsoft.com/office/drawing/2014/main" id="{07F4C2B9-F8EB-4C0A-9959-FDED17976977}"/>
            </a:ext>
          </a:extLst>
        </xdr:cNvPr>
        <xdr:cNvPicPr>
          <a:picLocks noChangeAspect="1"/>
        </xdr:cNvPicPr>
      </xdr:nvPicPr>
      <xdr:blipFill>
        <a:blip xmlns:r="http://schemas.openxmlformats.org/officeDocument/2006/relationships" r:embed="rId4"/>
        <a:stretch>
          <a:fillRect/>
        </a:stretch>
      </xdr:blipFill>
      <xdr:spPr>
        <a:xfrm>
          <a:off x="6810892" y="7810204"/>
          <a:ext cx="7793518" cy="5444522"/>
        </a:xfrm>
        <a:prstGeom prst="rect">
          <a:avLst/>
        </a:prstGeom>
      </xdr:spPr>
    </xdr:pic>
    <xdr:clientData/>
  </xdr:twoCellAnchor>
  <xdr:twoCellAnchor editAs="oneCell">
    <xdr:from>
      <xdr:col>67</xdr:col>
      <xdr:colOff>708212</xdr:colOff>
      <xdr:row>62</xdr:row>
      <xdr:rowOff>175560</xdr:rowOff>
    </xdr:from>
    <xdr:to>
      <xdr:col>73</xdr:col>
      <xdr:colOff>784412</xdr:colOff>
      <xdr:row>102</xdr:row>
      <xdr:rowOff>175560</xdr:rowOff>
    </xdr:to>
    <xdr:pic>
      <xdr:nvPicPr>
        <xdr:cNvPr id="6" name="Immagine 5">
          <a:extLst>
            <a:ext uri="{FF2B5EF4-FFF2-40B4-BE49-F238E27FC236}">
              <a16:creationId xmlns:a16="http://schemas.microsoft.com/office/drawing/2014/main" id="{BA914401-4990-4185-9B86-BF719D8D6943}"/>
            </a:ext>
          </a:extLst>
        </xdr:cNvPr>
        <xdr:cNvPicPr>
          <a:picLocks noChangeAspect="1"/>
        </xdr:cNvPicPr>
      </xdr:nvPicPr>
      <xdr:blipFill>
        <a:blip xmlns:r="http://schemas.openxmlformats.org/officeDocument/2006/relationships" r:embed="rId5"/>
        <a:stretch>
          <a:fillRect/>
        </a:stretch>
      </xdr:blipFill>
      <xdr:spPr>
        <a:xfrm>
          <a:off x="65484562" y="12831110"/>
          <a:ext cx="5067300" cy="7874000"/>
        </a:xfrm>
        <a:prstGeom prst="rect">
          <a:avLst/>
        </a:prstGeom>
      </xdr:spPr>
    </xdr:pic>
    <xdr:clientData/>
  </xdr:twoCellAnchor>
  <xdr:twoCellAnchor editAs="oneCell">
    <xdr:from>
      <xdr:col>55</xdr:col>
      <xdr:colOff>270442</xdr:colOff>
      <xdr:row>70</xdr:row>
      <xdr:rowOff>2033</xdr:rowOff>
    </xdr:from>
    <xdr:to>
      <xdr:col>64</xdr:col>
      <xdr:colOff>620903</xdr:colOff>
      <xdr:row>89</xdr:row>
      <xdr:rowOff>26054</xdr:rowOff>
    </xdr:to>
    <xdr:pic>
      <xdr:nvPicPr>
        <xdr:cNvPr id="7" name="Immagine 6">
          <a:extLst>
            <a:ext uri="{FF2B5EF4-FFF2-40B4-BE49-F238E27FC236}">
              <a16:creationId xmlns:a16="http://schemas.microsoft.com/office/drawing/2014/main" id="{08849A5C-AADE-4E63-AAA7-5740E5553352}"/>
            </a:ext>
          </a:extLst>
        </xdr:cNvPr>
        <xdr:cNvPicPr>
          <a:picLocks noChangeAspect="1"/>
        </xdr:cNvPicPr>
      </xdr:nvPicPr>
      <xdr:blipFill>
        <a:blip xmlns:r="http://schemas.openxmlformats.org/officeDocument/2006/relationships" r:embed="rId6"/>
        <a:stretch>
          <a:fillRect/>
        </a:stretch>
      </xdr:blipFill>
      <xdr:spPr>
        <a:xfrm>
          <a:off x="55064592" y="14232383"/>
          <a:ext cx="7837111" cy="3764171"/>
        </a:xfrm>
        <a:prstGeom prst="rect">
          <a:avLst/>
        </a:prstGeom>
      </xdr:spPr>
    </xdr:pic>
    <xdr:clientData/>
  </xdr:twoCellAnchor>
  <xdr:twoCellAnchor editAs="oneCell">
    <xdr:from>
      <xdr:col>36</xdr:col>
      <xdr:colOff>352686</xdr:colOff>
      <xdr:row>78</xdr:row>
      <xdr:rowOff>117840</xdr:rowOff>
    </xdr:from>
    <xdr:to>
      <xdr:col>45</xdr:col>
      <xdr:colOff>132233</xdr:colOff>
      <xdr:row>95</xdr:row>
      <xdr:rowOff>139037</xdr:rowOff>
    </xdr:to>
    <xdr:pic>
      <xdr:nvPicPr>
        <xdr:cNvPr id="8" name="Immagine 7">
          <a:extLst>
            <a:ext uri="{FF2B5EF4-FFF2-40B4-BE49-F238E27FC236}">
              <a16:creationId xmlns:a16="http://schemas.microsoft.com/office/drawing/2014/main" id="{2473E723-843E-4ED0-B239-8B47C4998E27}"/>
            </a:ext>
          </a:extLst>
        </xdr:cNvPr>
        <xdr:cNvPicPr>
          <a:picLocks noChangeAspect="1"/>
        </xdr:cNvPicPr>
      </xdr:nvPicPr>
      <xdr:blipFill>
        <a:blip xmlns:r="http://schemas.openxmlformats.org/officeDocument/2006/relationships" r:embed="rId7"/>
        <a:stretch>
          <a:fillRect/>
        </a:stretch>
      </xdr:blipFill>
      <xdr:spPr>
        <a:xfrm>
          <a:off x="38306636" y="15922990"/>
          <a:ext cx="7266197" cy="3367647"/>
        </a:xfrm>
        <a:prstGeom prst="rect">
          <a:avLst/>
        </a:prstGeom>
      </xdr:spPr>
    </xdr:pic>
    <xdr:clientData/>
  </xdr:twoCellAnchor>
  <xdr:twoCellAnchor editAs="oneCell">
    <xdr:from>
      <xdr:col>13</xdr:col>
      <xdr:colOff>1924</xdr:colOff>
      <xdr:row>20</xdr:row>
      <xdr:rowOff>38486</xdr:rowOff>
    </xdr:from>
    <xdr:to>
      <xdr:col>19</xdr:col>
      <xdr:colOff>56187</xdr:colOff>
      <xdr:row>54</xdr:row>
      <xdr:rowOff>55464</xdr:rowOff>
    </xdr:to>
    <xdr:pic>
      <xdr:nvPicPr>
        <xdr:cNvPr id="9" name="Immagine 8">
          <a:extLst>
            <a:ext uri="{FF2B5EF4-FFF2-40B4-BE49-F238E27FC236}">
              <a16:creationId xmlns:a16="http://schemas.microsoft.com/office/drawing/2014/main" id="{C1F4208A-D875-4A74-A1D3-DF9CE79D4A4C}"/>
            </a:ext>
          </a:extLst>
        </xdr:cNvPr>
        <xdr:cNvPicPr>
          <a:picLocks noChangeAspect="1"/>
        </xdr:cNvPicPr>
      </xdr:nvPicPr>
      <xdr:blipFill>
        <a:blip xmlns:r="http://schemas.openxmlformats.org/officeDocument/2006/relationships" r:embed="rId1"/>
        <a:stretch>
          <a:fillRect/>
        </a:stretch>
      </xdr:blipFill>
      <xdr:spPr>
        <a:xfrm>
          <a:off x="16067424" y="4381886"/>
          <a:ext cx="5127913" cy="6754328"/>
        </a:xfrm>
        <a:prstGeom prst="rect">
          <a:avLst/>
        </a:prstGeom>
      </xdr:spPr>
    </xdr:pic>
    <xdr:clientData/>
  </xdr:twoCellAnchor>
  <xdr:twoCellAnchor editAs="oneCell">
    <xdr:from>
      <xdr:col>29</xdr:col>
      <xdr:colOff>508601</xdr:colOff>
      <xdr:row>24</xdr:row>
      <xdr:rowOff>163282</xdr:rowOff>
    </xdr:from>
    <xdr:to>
      <xdr:col>39</xdr:col>
      <xdr:colOff>22258</xdr:colOff>
      <xdr:row>51</xdr:row>
      <xdr:rowOff>152587</xdr:rowOff>
    </xdr:to>
    <xdr:pic>
      <xdr:nvPicPr>
        <xdr:cNvPr id="10" name="Immagine 9">
          <a:extLst>
            <a:ext uri="{FF2B5EF4-FFF2-40B4-BE49-F238E27FC236}">
              <a16:creationId xmlns:a16="http://schemas.microsoft.com/office/drawing/2014/main" id="{D552936E-33CD-4141-8165-9FE6EA26B666}"/>
            </a:ext>
          </a:extLst>
        </xdr:cNvPr>
        <xdr:cNvPicPr>
          <a:picLocks noChangeAspect="1"/>
        </xdr:cNvPicPr>
      </xdr:nvPicPr>
      <xdr:blipFill>
        <a:blip xmlns:r="http://schemas.openxmlformats.org/officeDocument/2006/relationships" r:embed="rId2"/>
        <a:stretch>
          <a:fillRect/>
        </a:stretch>
      </xdr:blipFill>
      <xdr:spPr>
        <a:xfrm>
          <a:off x="32639601" y="5306782"/>
          <a:ext cx="7832157" cy="5323305"/>
        </a:xfrm>
        <a:prstGeom prst="rect">
          <a:avLst/>
        </a:prstGeom>
      </xdr:spPr>
    </xdr:pic>
    <xdr:clientData/>
  </xdr:twoCellAnchor>
  <xdr:twoCellAnchor editAs="oneCell">
    <xdr:from>
      <xdr:col>33</xdr:col>
      <xdr:colOff>537419</xdr:colOff>
      <xdr:row>4</xdr:row>
      <xdr:rowOff>212176</xdr:rowOff>
    </xdr:from>
    <xdr:to>
      <xdr:col>43</xdr:col>
      <xdr:colOff>43171</xdr:colOff>
      <xdr:row>26</xdr:row>
      <xdr:rowOff>81664</xdr:rowOff>
    </xdr:to>
    <xdr:pic>
      <xdr:nvPicPr>
        <xdr:cNvPr id="11" name="Immagine 10">
          <a:extLst>
            <a:ext uri="{FF2B5EF4-FFF2-40B4-BE49-F238E27FC236}">
              <a16:creationId xmlns:a16="http://schemas.microsoft.com/office/drawing/2014/main" id="{5624C00A-9F4F-4E96-BE8B-80D606341BFB}"/>
            </a:ext>
          </a:extLst>
        </xdr:cNvPr>
        <xdr:cNvPicPr>
          <a:picLocks noChangeAspect="1"/>
        </xdr:cNvPicPr>
      </xdr:nvPicPr>
      <xdr:blipFill>
        <a:blip xmlns:r="http://schemas.openxmlformats.org/officeDocument/2006/relationships" r:embed="rId3"/>
        <a:stretch>
          <a:fillRect/>
        </a:stretch>
      </xdr:blipFill>
      <xdr:spPr>
        <a:xfrm>
          <a:off x="35995819" y="1018626"/>
          <a:ext cx="7824252" cy="4600238"/>
        </a:xfrm>
        <a:prstGeom prst="rect">
          <a:avLst/>
        </a:prstGeom>
      </xdr:spPr>
    </xdr:pic>
    <xdr:clientData/>
  </xdr:twoCellAnchor>
  <xdr:twoCellAnchor editAs="oneCell">
    <xdr:from>
      <xdr:col>2</xdr:col>
      <xdr:colOff>797442</xdr:colOff>
      <xdr:row>37</xdr:row>
      <xdr:rowOff>88604</xdr:rowOff>
    </xdr:from>
    <xdr:to>
      <xdr:col>11</xdr:col>
      <xdr:colOff>202610</xdr:colOff>
      <xdr:row>65</xdr:row>
      <xdr:rowOff>8626</xdr:rowOff>
    </xdr:to>
    <xdr:pic>
      <xdr:nvPicPr>
        <xdr:cNvPr id="12" name="Immagine 11">
          <a:extLst>
            <a:ext uri="{FF2B5EF4-FFF2-40B4-BE49-F238E27FC236}">
              <a16:creationId xmlns:a16="http://schemas.microsoft.com/office/drawing/2014/main" id="{DD3779F3-C063-4D47-93C8-2C3237CD12F0}"/>
            </a:ext>
          </a:extLst>
        </xdr:cNvPr>
        <xdr:cNvPicPr>
          <a:picLocks noChangeAspect="1"/>
        </xdr:cNvPicPr>
      </xdr:nvPicPr>
      <xdr:blipFill>
        <a:blip xmlns:r="http://schemas.openxmlformats.org/officeDocument/2006/relationships" r:embed="rId4"/>
        <a:stretch>
          <a:fillRect/>
        </a:stretch>
      </xdr:blipFill>
      <xdr:spPr>
        <a:xfrm>
          <a:off x="6810892" y="7810204"/>
          <a:ext cx="7793518" cy="5444522"/>
        </a:xfrm>
        <a:prstGeom prst="rect">
          <a:avLst/>
        </a:prstGeom>
      </xdr:spPr>
    </xdr:pic>
    <xdr:clientData/>
  </xdr:twoCellAnchor>
  <xdr:twoCellAnchor editAs="oneCell">
    <xdr:from>
      <xdr:col>67</xdr:col>
      <xdr:colOff>708212</xdr:colOff>
      <xdr:row>62</xdr:row>
      <xdr:rowOff>175560</xdr:rowOff>
    </xdr:from>
    <xdr:to>
      <xdr:col>73</xdr:col>
      <xdr:colOff>784412</xdr:colOff>
      <xdr:row>102</xdr:row>
      <xdr:rowOff>175560</xdr:rowOff>
    </xdr:to>
    <xdr:pic>
      <xdr:nvPicPr>
        <xdr:cNvPr id="13" name="Immagine 12">
          <a:extLst>
            <a:ext uri="{FF2B5EF4-FFF2-40B4-BE49-F238E27FC236}">
              <a16:creationId xmlns:a16="http://schemas.microsoft.com/office/drawing/2014/main" id="{3F5F4EFF-FA5A-450D-9E68-53771BB4F980}"/>
            </a:ext>
          </a:extLst>
        </xdr:cNvPr>
        <xdr:cNvPicPr>
          <a:picLocks noChangeAspect="1"/>
        </xdr:cNvPicPr>
      </xdr:nvPicPr>
      <xdr:blipFill>
        <a:blip xmlns:r="http://schemas.openxmlformats.org/officeDocument/2006/relationships" r:embed="rId5"/>
        <a:stretch>
          <a:fillRect/>
        </a:stretch>
      </xdr:blipFill>
      <xdr:spPr>
        <a:xfrm>
          <a:off x="65484562" y="12831110"/>
          <a:ext cx="5067300" cy="7874000"/>
        </a:xfrm>
        <a:prstGeom prst="rect">
          <a:avLst/>
        </a:prstGeom>
      </xdr:spPr>
    </xdr:pic>
    <xdr:clientData/>
  </xdr:twoCellAnchor>
  <xdr:twoCellAnchor editAs="oneCell">
    <xdr:from>
      <xdr:col>53</xdr:col>
      <xdr:colOff>808670</xdr:colOff>
      <xdr:row>46</xdr:row>
      <xdr:rowOff>11441</xdr:rowOff>
    </xdr:from>
    <xdr:to>
      <xdr:col>63</xdr:col>
      <xdr:colOff>331279</xdr:colOff>
      <xdr:row>65</xdr:row>
      <xdr:rowOff>16646</xdr:rowOff>
    </xdr:to>
    <xdr:pic>
      <xdr:nvPicPr>
        <xdr:cNvPr id="14" name="Immagine 13">
          <a:extLst>
            <a:ext uri="{FF2B5EF4-FFF2-40B4-BE49-F238E27FC236}">
              <a16:creationId xmlns:a16="http://schemas.microsoft.com/office/drawing/2014/main" id="{35E29067-2326-41D7-AAD8-2AC381F00E5F}"/>
            </a:ext>
          </a:extLst>
        </xdr:cNvPr>
        <xdr:cNvPicPr>
          <a:picLocks noChangeAspect="1"/>
        </xdr:cNvPicPr>
      </xdr:nvPicPr>
      <xdr:blipFill>
        <a:blip xmlns:r="http://schemas.openxmlformats.org/officeDocument/2006/relationships" r:embed="rId6"/>
        <a:stretch>
          <a:fillRect/>
        </a:stretch>
      </xdr:blipFill>
      <xdr:spPr>
        <a:xfrm>
          <a:off x="53939120" y="9504691"/>
          <a:ext cx="7841109" cy="3758055"/>
        </a:xfrm>
        <a:prstGeom prst="rect">
          <a:avLst/>
        </a:prstGeom>
      </xdr:spPr>
    </xdr:pic>
    <xdr:clientData/>
  </xdr:twoCellAnchor>
  <xdr:twoCellAnchor editAs="oneCell">
    <xdr:from>
      <xdr:col>13</xdr:col>
      <xdr:colOff>1924</xdr:colOff>
      <xdr:row>20</xdr:row>
      <xdr:rowOff>38486</xdr:rowOff>
    </xdr:from>
    <xdr:to>
      <xdr:col>19</xdr:col>
      <xdr:colOff>56187</xdr:colOff>
      <xdr:row>54</xdr:row>
      <xdr:rowOff>55464</xdr:rowOff>
    </xdr:to>
    <xdr:pic>
      <xdr:nvPicPr>
        <xdr:cNvPr id="15" name="Immagine 14">
          <a:extLst>
            <a:ext uri="{FF2B5EF4-FFF2-40B4-BE49-F238E27FC236}">
              <a16:creationId xmlns:a16="http://schemas.microsoft.com/office/drawing/2014/main" id="{33DF482D-4B0A-4742-BC82-DFB0A490F2F4}"/>
            </a:ext>
          </a:extLst>
        </xdr:cNvPr>
        <xdr:cNvPicPr>
          <a:picLocks noChangeAspect="1"/>
        </xdr:cNvPicPr>
      </xdr:nvPicPr>
      <xdr:blipFill>
        <a:blip xmlns:r="http://schemas.openxmlformats.org/officeDocument/2006/relationships" r:embed="rId1"/>
        <a:stretch>
          <a:fillRect/>
        </a:stretch>
      </xdr:blipFill>
      <xdr:spPr>
        <a:xfrm>
          <a:off x="16067424" y="4381886"/>
          <a:ext cx="5127913" cy="6754328"/>
        </a:xfrm>
        <a:prstGeom prst="rect">
          <a:avLst/>
        </a:prstGeom>
      </xdr:spPr>
    </xdr:pic>
    <xdr:clientData/>
  </xdr:twoCellAnchor>
  <xdr:twoCellAnchor editAs="oneCell">
    <xdr:from>
      <xdr:col>29</xdr:col>
      <xdr:colOff>508601</xdr:colOff>
      <xdr:row>24</xdr:row>
      <xdr:rowOff>163282</xdr:rowOff>
    </xdr:from>
    <xdr:to>
      <xdr:col>39</xdr:col>
      <xdr:colOff>22258</xdr:colOff>
      <xdr:row>51</xdr:row>
      <xdr:rowOff>152587</xdr:rowOff>
    </xdr:to>
    <xdr:pic>
      <xdr:nvPicPr>
        <xdr:cNvPr id="16" name="Immagine 15">
          <a:extLst>
            <a:ext uri="{FF2B5EF4-FFF2-40B4-BE49-F238E27FC236}">
              <a16:creationId xmlns:a16="http://schemas.microsoft.com/office/drawing/2014/main" id="{9460B467-1CD8-4B38-A85B-1EA2CC4FC3C9}"/>
            </a:ext>
          </a:extLst>
        </xdr:cNvPr>
        <xdr:cNvPicPr>
          <a:picLocks noChangeAspect="1"/>
        </xdr:cNvPicPr>
      </xdr:nvPicPr>
      <xdr:blipFill>
        <a:blip xmlns:r="http://schemas.openxmlformats.org/officeDocument/2006/relationships" r:embed="rId2"/>
        <a:stretch>
          <a:fillRect/>
        </a:stretch>
      </xdr:blipFill>
      <xdr:spPr>
        <a:xfrm>
          <a:off x="32639601" y="5306782"/>
          <a:ext cx="7832157" cy="5323305"/>
        </a:xfrm>
        <a:prstGeom prst="rect">
          <a:avLst/>
        </a:prstGeom>
      </xdr:spPr>
    </xdr:pic>
    <xdr:clientData/>
  </xdr:twoCellAnchor>
  <xdr:twoCellAnchor editAs="oneCell">
    <xdr:from>
      <xdr:col>33</xdr:col>
      <xdr:colOff>537419</xdr:colOff>
      <xdr:row>4</xdr:row>
      <xdr:rowOff>212176</xdr:rowOff>
    </xdr:from>
    <xdr:to>
      <xdr:col>43</xdr:col>
      <xdr:colOff>43171</xdr:colOff>
      <xdr:row>26</xdr:row>
      <xdr:rowOff>81664</xdr:rowOff>
    </xdr:to>
    <xdr:pic>
      <xdr:nvPicPr>
        <xdr:cNvPr id="17" name="Immagine 16">
          <a:extLst>
            <a:ext uri="{FF2B5EF4-FFF2-40B4-BE49-F238E27FC236}">
              <a16:creationId xmlns:a16="http://schemas.microsoft.com/office/drawing/2014/main" id="{6A37D650-5EEF-4AC6-BBA4-98FEEEAB4565}"/>
            </a:ext>
          </a:extLst>
        </xdr:cNvPr>
        <xdr:cNvPicPr>
          <a:picLocks noChangeAspect="1"/>
        </xdr:cNvPicPr>
      </xdr:nvPicPr>
      <xdr:blipFill>
        <a:blip xmlns:r="http://schemas.openxmlformats.org/officeDocument/2006/relationships" r:embed="rId3"/>
        <a:stretch>
          <a:fillRect/>
        </a:stretch>
      </xdr:blipFill>
      <xdr:spPr>
        <a:xfrm>
          <a:off x="35995819" y="1018626"/>
          <a:ext cx="7824252" cy="4600238"/>
        </a:xfrm>
        <a:prstGeom prst="rect">
          <a:avLst/>
        </a:prstGeom>
      </xdr:spPr>
    </xdr:pic>
    <xdr:clientData/>
  </xdr:twoCellAnchor>
  <xdr:twoCellAnchor editAs="oneCell">
    <xdr:from>
      <xdr:col>2</xdr:col>
      <xdr:colOff>797442</xdr:colOff>
      <xdr:row>37</xdr:row>
      <xdr:rowOff>88604</xdr:rowOff>
    </xdr:from>
    <xdr:to>
      <xdr:col>11</xdr:col>
      <xdr:colOff>202610</xdr:colOff>
      <xdr:row>65</xdr:row>
      <xdr:rowOff>8626</xdr:rowOff>
    </xdr:to>
    <xdr:pic>
      <xdr:nvPicPr>
        <xdr:cNvPr id="18" name="Immagine 17">
          <a:extLst>
            <a:ext uri="{FF2B5EF4-FFF2-40B4-BE49-F238E27FC236}">
              <a16:creationId xmlns:a16="http://schemas.microsoft.com/office/drawing/2014/main" id="{39E0DD1E-A7A4-4775-BB3B-CF6B762DF6DF}"/>
            </a:ext>
          </a:extLst>
        </xdr:cNvPr>
        <xdr:cNvPicPr>
          <a:picLocks noChangeAspect="1"/>
        </xdr:cNvPicPr>
      </xdr:nvPicPr>
      <xdr:blipFill>
        <a:blip xmlns:r="http://schemas.openxmlformats.org/officeDocument/2006/relationships" r:embed="rId4"/>
        <a:stretch>
          <a:fillRect/>
        </a:stretch>
      </xdr:blipFill>
      <xdr:spPr>
        <a:xfrm>
          <a:off x="6810892" y="7810204"/>
          <a:ext cx="7793518" cy="5444522"/>
        </a:xfrm>
        <a:prstGeom prst="rect">
          <a:avLst/>
        </a:prstGeom>
      </xdr:spPr>
    </xdr:pic>
    <xdr:clientData/>
  </xdr:twoCellAnchor>
  <xdr:twoCellAnchor editAs="oneCell">
    <xdr:from>
      <xdr:col>67</xdr:col>
      <xdr:colOff>708212</xdr:colOff>
      <xdr:row>62</xdr:row>
      <xdr:rowOff>175560</xdr:rowOff>
    </xdr:from>
    <xdr:to>
      <xdr:col>73</xdr:col>
      <xdr:colOff>784412</xdr:colOff>
      <xdr:row>102</xdr:row>
      <xdr:rowOff>175560</xdr:rowOff>
    </xdr:to>
    <xdr:pic>
      <xdr:nvPicPr>
        <xdr:cNvPr id="19" name="Immagine 18">
          <a:extLst>
            <a:ext uri="{FF2B5EF4-FFF2-40B4-BE49-F238E27FC236}">
              <a16:creationId xmlns:a16="http://schemas.microsoft.com/office/drawing/2014/main" id="{0987E72A-A723-489C-9532-3D85A7254030}"/>
            </a:ext>
          </a:extLst>
        </xdr:cNvPr>
        <xdr:cNvPicPr>
          <a:picLocks noChangeAspect="1"/>
        </xdr:cNvPicPr>
      </xdr:nvPicPr>
      <xdr:blipFill>
        <a:blip xmlns:r="http://schemas.openxmlformats.org/officeDocument/2006/relationships" r:embed="rId5"/>
        <a:stretch>
          <a:fillRect/>
        </a:stretch>
      </xdr:blipFill>
      <xdr:spPr>
        <a:xfrm>
          <a:off x="65484562" y="12831110"/>
          <a:ext cx="5067300" cy="7874000"/>
        </a:xfrm>
        <a:prstGeom prst="rect">
          <a:avLst/>
        </a:prstGeom>
      </xdr:spPr>
    </xdr:pic>
    <xdr:clientData/>
  </xdr:twoCellAnchor>
  <xdr:twoCellAnchor editAs="oneCell">
    <xdr:from>
      <xdr:col>53</xdr:col>
      <xdr:colOff>808670</xdr:colOff>
      <xdr:row>46</xdr:row>
      <xdr:rowOff>11441</xdr:rowOff>
    </xdr:from>
    <xdr:to>
      <xdr:col>63</xdr:col>
      <xdr:colOff>331279</xdr:colOff>
      <xdr:row>65</xdr:row>
      <xdr:rowOff>16646</xdr:rowOff>
    </xdr:to>
    <xdr:pic>
      <xdr:nvPicPr>
        <xdr:cNvPr id="20" name="Immagine 19">
          <a:extLst>
            <a:ext uri="{FF2B5EF4-FFF2-40B4-BE49-F238E27FC236}">
              <a16:creationId xmlns:a16="http://schemas.microsoft.com/office/drawing/2014/main" id="{BF02F2D1-3C39-4271-AEBA-F3A6DDB71CB8}"/>
            </a:ext>
          </a:extLst>
        </xdr:cNvPr>
        <xdr:cNvPicPr>
          <a:picLocks noChangeAspect="1"/>
        </xdr:cNvPicPr>
      </xdr:nvPicPr>
      <xdr:blipFill>
        <a:blip xmlns:r="http://schemas.openxmlformats.org/officeDocument/2006/relationships" r:embed="rId6"/>
        <a:stretch>
          <a:fillRect/>
        </a:stretch>
      </xdr:blipFill>
      <xdr:spPr>
        <a:xfrm>
          <a:off x="53939120" y="9504691"/>
          <a:ext cx="7841109" cy="3758055"/>
        </a:xfrm>
        <a:prstGeom prst="rect">
          <a:avLst/>
        </a:prstGeom>
      </xdr:spPr>
    </xdr:pic>
    <xdr:clientData/>
  </xdr:twoCellAnchor>
  <xdr:twoCellAnchor editAs="oneCell">
    <xdr:from>
      <xdr:col>13</xdr:col>
      <xdr:colOff>1924</xdr:colOff>
      <xdr:row>20</xdr:row>
      <xdr:rowOff>38486</xdr:rowOff>
    </xdr:from>
    <xdr:to>
      <xdr:col>19</xdr:col>
      <xdr:colOff>56187</xdr:colOff>
      <xdr:row>54</xdr:row>
      <xdr:rowOff>55464</xdr:rowOff>
    </xdr:to>
    <xdr:pic>
      <xdr:nvPicPr>
        <xdr:cNvPr id="21" name="Immagine 20">
          <a:extLst>
            <a:ext uri="{FF2B5EF4-FFF2-40B4-BE49-F238E27FC236}">
              <a16:creationId xmlns:a16="http://schemas.microsoft.com/office/drawing/2014/main" id="{B7EAE971-1D99-4F57-89A1-17335178E5C1}"/>
            </a:ext>
          </a:extLst>
        </xdr:cNvPr>
        <xdr:cNvPicPr>
          <a:picLocks noChangeAspect="1"/>
        </xdr:cNvPicPr>
      </xdr:nvPicPr>
      <xdr:blipFill>
        <a:blip xmlns:r="http://schemas.openxmlformats.org/officeDocument/2006/relationships" r:embed="rId1"/>
        <a:stretch>
          <a:fillRect/>
        </a:stretch>
      </xdr:blipFill>
      <xdr:spPr>
        <a:xfrm>
          <a:off x="16067424" y="4381886"/>
          <a:ext cx="5127913" cy="6754328"/>
        </a:xfrm>
        <a:prstGeom prst="rect">
          <a:avLst/>
        </a:prstGeom>
      </xdr:spPr>
    </xdr:pic>
    <xdr:clientData/>
  </xdr:twoCellAnchor>
  <xdr:twoCellAnchor editAs="oneCell">
    <xdr:from>
      <xdr:col>29</xdr:col>
      <xdr:colOff>508601</xdr:colOff>
      <xdr:row>24</xdr:row>
      <xdr:rowOff>163282</xdr:rowOff>
    </xdr:from>
    <xdr:to>
      <xdr:col>39</xdr:col>
      <xdr:colOff>22258</xdr:colOff>
      <xdr:row>51</xdr:row>
      <xdr:rowOff>152587</xdr:rowOff>
    </xdr:to>
    <xdr:pic>
      <xdr:nvPicPr>
        <xdr:cNvPr id="22" name="Immagine 21">
          <a:extLst>
            <a:ext uri="{FF2B5EF4-FFF2-40B4-BE49-F238E27FC236}">
              <a16:creationId xmlns:a16="http://schemas.microsoft.com/office/drawing/2014/main" id="{C1D3D566-440F-4CCA-8BB3-7753E0E33753}"/>
            </a:ext>
          </a:extLst>
        </xdr:cNvPr>
        <xdr:cNvPicPr>
          <a:picLocks noChangeAspect="1"/>
        </xdr:cNvPicPr>
      </xdr:nvPicPr>
      <xdr:blipFill>
        <a:blip xmlns:r="http://schemas.openxmlformats.org/officeDocument/2006/relationships" r:embed="rId2"/>
        <a:stretch>
          <a:fillRect/>
        </a:stretch>
      </xdr:blipFill>
      <xdr:spPr>
        <a:xfrm>
          <a:off x="32639601" y="5306782"/>
          <a:ext cx="7832157" cy="5323305"/>
        </a:xfrm>
        <a:prstGeom prst="rect">
          <a:avLst/>
        </a:prstGeom>
      </xdr:spPr>
    </xdr:pic>
    <xdr:clientData/>
  </xdr:twoCellAnchor>
  <xdr:twoCellAnchor editAs="oneCell">
    <xdr:from>
      <xdr:col>33</xdr:col>
      <xdr:colOff>537419</xdr:colOff>
      <xdr:row>4</xdr:row>
      <xdr:rowOff>212176</xdr:rowOff>
    </xdr:from>
    <xdr:to>
      <xdr:col>43</xdr:col>
      <xdr:colOff>43171</xdr:colOff>
      <xdr:row>26</xdr:row>
      <xdr:rowOff>81664</xdr:rowOff>
    </xdr:to>
    <xdr:pic>
      <xdr:nvPicPr>
        <xdr:cNvPr id="23" name="Immagine 22">
          <a:extLst>
            <a:ext uri="{FF2B5EF4-FFF2-40B4-BE49-F238E27FC236}">
              <a16:creationId xmlns:a16="http://schemas.microsoft.com/office/drawing/2014/main" id="{15D11184-A92B-40AB-8022-1E3E77C1538B}"/>
            </a:ext>
          </a:extLst>
        </xdr:cNvPr>
        <xdr:cNvPicPr>
          <a:picLocks noChangeAspect="1"/>
        </xdr:cNvPicPr>
      </xdr:nvPicPr>
      <xdr:blipFill>
        <a:blip xmlns:r="http://schemas.openxmlformats.org/officeDocument/2006/relationships" r:embed="rId3"/>
        <a:stretch>
          <a:fillRect/>
        </a:stretch>
      </xdr:blipFill>
      <xdr:spPr>
        <a:xfrm>
          <a:off x="35995819" y="1018626"/>
          <a:ext cx="7824252" cy="4600238"/>
        </a:xfrm>
        <a:prstGeom prst="rect">
          <a:avLst/>
        </a:prstGeom>
      </xdr:spPr>
    </xdr:pic>
    <xdr:clientData/>
  </xdr:twoCellAnchor>
  <xdr:twoCellAnchor editAs="oneCell">
    <xdr:from>
      <xdr:col>2</xdr:col>
      <xdr:colOff>797442</xdr:colOff>
      <xdr:row>37</xdr:row>
      <xdr:rowOff>88604</xdr:rowOff>
    </xdr:from>
    <xdr:to>
      <xdr:col>11</xdr:col>
      <xdr:colOff>202610</xdr:colOff>
      <xdr:row>65</xdr:row>
      <xdr:rowOff>8626</xdr:rowOff>
    </xdr:to>
    <xdr:pic>
      <xdr:nvPicPr>
        <xdr:cNvPr id="24" name="Immagine 23">
          <a:extLst>
            <a:ext uri="{FF2B5EF4-FFF2-40B4-BE49-F238E27FC236}">
              <a16:creationId xmlns:a16="http://schemas.microsoft.com/office/drawing/2014/main" id="{AC1F6DDD-DED0-44E8-B247-4AE94B233581}"/>
            </a:ext>
          </a:extLst>
        </xdr:cNvPr>
        <xdr:cNvPicPr>
          <a:picLocks noChangeAspect="1"/>
        </xdr:cNvPicPr>
      </xdr:nvPicPr>
      <xdr:blipFill>
        <a:blip xmlns:r="http://schemas.openxmlformats.org/officeDocument/2006/relationships" r:embed="rId4"/>
        <a:stretch>
          <a:fillRect/>
        </a:stretch>
      </xdr:blipFill>
      <xdr:spPr>
        <a:xfrm>
          <a:off x="6810892" y="7810204"/>
          <a:ext cx="7793518" cy="5444522"/>
        </a:xfrm>
        <a:prstGeom prst="rect">
          <a:avLst/>
        </a:prstGeom>
      </xdr:spPr>
    </xdr:pic>
    <xdr:clientData/>
  </xdr:twoCellAnchor>
  <xdr:twoCellAnchor editAs="oneCell">
    <xdr:from>
      <xdr:col>67</xdr:col>
      <xdr:colOff>708212</xdr:colOff>
      <xdr:row>62</xdr:row>
      <xdr:rowOff>175560</xdr:rowOff>
    </xdr:from>
    <xdr:to>
      <xdr:col>73</xdr:col>
      <xdr:colOff>784412</xdr:colOff>
      <xdr:row>102</xdr:row>
      <xdr:rowOff>175560</xdr:rowOff>
    </xdr:to>
    <xdr:pic>
      <xdr:nvPicPr>
        <xdr:cNvPr id="25" name="Immagine 24">
          <a:extLst>
            <a:ext uri="{FF2B5EF4-FFF2-40B4-BE49-F238E27FC236}">
              <a16:creationId xmlns:a16="http://schemas.microsoft.com/office/drawing/2014/main" id="{2FEDFBC0-69E7-4659-B47E-FBCD48184C24}"/>
            </a:ext>
          </a:extLst>
        </xdr:cNvPr>
        <xdr:cNvPicPr>
          <a:picLocks noChangeAspect="1"/>
        </xdr:cNvPicPr>
      </xdr:nvPicPr>
      <xdr:blipFill>
        <a:blip xmlns:r="http://schemas.openxmlformats.org/officeDocument/2006/relationships" r:embed="rId5"/>
        <a:stretch>
          <a:fillRect/>
        </a:stretch>
      </xdr:blipFill>
      <xdr:spPr>
        <a:xfrm>
          <a:off x="65484562" y="12831110"/>
          <a:ext cx="5067300" cy="7874000"/>
        </a:xfrm>
        <a:prstGeom prst="rect">
          <a:avLst/>
        </a:prstGeom>
      </xdr:spPr>
    </xdr:pic>
    <xdr:clientData/>
  </xdr:twoCellAnchor>
  <xdr:twoCellAnchor editAs="oneCell">
    <xdr:from>
      <xdr:col>53</xdr:col>
      <xdr:colOff>808670</xdr:colOff>
      <xdr:row>46</xdr:row>
      <xdr:rowOff>11441</xdr:rowOff>
    </xdr:from>
    <xdr:to>
      <xdr:col>63</xdr:col>
      <xdr:colOff>331279</xdr:colOff>
      <xdr:row>65</xdr:row>
      <xdr:rowOff>16646</xdr:rowOff>
    </xdr:to>
    <xdr:pic>
      <xdr:nvPicPr>
        <xdr:cNvPr id="26" name="Immagine 25">
          <a:extLst>
            <a:ext uri="{FF2B5EF4-FFF2-40B4-BE49-F238E27FC236}">
              <a16:creationId xmlns:a16="http://schemas.microsoft.com/office/drawing/2014/main" id="{CE9761C7-7C70-4183-A3AB-DD2F67FA90CD}"/>
            </a:ext>
          </a:extLst>
        </xdr:cNvPr>
        <xdr:cNvPicPr>
          <a:picLocks noChangeAspect="1"/>
        </xdr:cNvPicPr>
      </xdr:nvPicPr>
      <xdr:blipFill>
        <a:blip xmlns:r="http://schemas.openxmlformats.org/officeDocument/2006/relationships" r:embed="rId6"/>
        <a:stretch>
          <a:fillRect/>
        </a:stretch>
      </xdr:blipFill>
      <xdr:spPr>
        <a:xfrm>
          <a:off x="53939120" y="9504691"/>
          <a:ext cx="7841109" cy="375805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13</xdr:col>
      <xdr:colOff>1924</xdr:colOff>
      <xdr:row>20</xdr:row>
      <xdr:rowOff>38486</xdr:rowOff>
    </xdr:from>
    <xdr:to>
      <xdr:col>19</xdr:col>
      <xdr:colOff>56187</xdr:colOff>
      <xdr:row>54</xdr:row>
      <xdr:rowOff>55464</xdr:rowOff>
    </xdr:to>
    <xdr:pic>
      <xdr:nvPicPr>
        <xdr:cNvPr id="2" name="Immagine 1">
          <a:extLst>
            <a:ext uri="{FF2B5EF4-FFF2-40B4-BE49-F238E27FC236}">
              <a16:creationId xmlns:a16="http://schemas.microsoft.com/office/drawing/2014/main" id="{9CCC857C-AF72-8F47-868A-E0B16CB051E0}"/>
            </a:ext>
          </a:extLst>
        </xdr:cNvPr>
        <xdr:cNvPicPr>
          <a:picLocks noChangeAspect="1"/>
        </xdr:cNvPicPr>
      </xdr:nvPicPr>
      <xdr:blipFill>
        <a:blip xmlns:r="http://schemas.openxmlformats.org/officeDocument/2006/relationships" r:embed="rId1"/>
        <a:stretch>
          <a:fillRect/>
        </a:stretch>
      </xdr:blipFill>
      <xdr:spPr>
        <a:xfrm>
          <a:off x="16016624" y="4534286"/>
          <a:ext cx="5096163" cy="7014678"/>
        </a:xfrm>
        <a:prstGeom prst="rect">
          <a:avLst/>
        </a:prstGeom>
      </xdr:spPr>
    </xdr:pic>
    <xdr:clientData/>
  </xdr:twoCellAnchor>
  <xdr:twoCellAnchor editAs="oneCell">
    <xdr:from>
      <xdr:col>29</xdr:col>
      <xdr:colOff>508601</xdr:colOff>
      <xdr:row>24</xdr:row>
      <xdr:rowOff>163282</xdr:rowOff>
    </xdr:from>
    <xdr:to>
      <xdr:col>39</xdr:col>
      <xdr:colOff>22258</xdr:colOff>
      <xdr:row>51</xdr:row>
      <xdr:rowOff>152587</xdr:rowOff>
    </xdr:to>
    <xdr:pic>
      <xdr:nvPicPr>
        <xdr:cNvPr id="3" name="Immagine 2">
          <a:extLst>
            <a:ext uri="{FF2B5EF4-FFF2-40B4-BE49-F238E27FC236}">
              <a16:creationId xmlns:a16="http://schemas.microsoft.com/office/drawing/2014/main" id="{57153DDE-78BB-9C44-9A5A-35B3FF65A7E4}"/>
            </a:ext>
          </a:extLst>
        </xdr:cNvPr>
        <xdr:cNvPicPr>
          <a:picLocks noChangeAspect="1"/>
        </xdr:cNvPicPr>
      </xdr:nvPicPr>
      <xdr:blipFill>
        <a:blip xmlns:r="http://schemas.openxmlformats.org/officeDocument/2006/relationships" r:embed="rId2"/>
        <a:stretch>
          <a:fillRect/>
        </a:stretch>
      </xdr:blipFill>
      <xdr:spPr>
        <a:xfrm>
          <a:off x="32499901" y="5497282"/>
          <a:ext cx="7768657" cy="5513805"/>
        </a:xfrm>
        <a:prstGeom prst="rect">
          <a:avLst/>
        </a:prstGeom>
      </xdr:spPr>
    </xdr:pic>
    <xdr:clientData/>
  </xdr:twoCellAnchor>
  <xdr:twoCellAnchor editAs="oneCell">
    <xdr:from>
      <xdr:col>33</xdr:col>
      <xdr:colOff>537419</xdr:colOff>
      <xdr:row>4</xdr:row>
      <xdr:rowOff>212176</xdr:rowOff>
    </xdr:from>
    <xdr:to>
      <xdr:col>43</xdr:col>
      <xdr:colOff>43171</xdr:colOff>
      <xdr:row>26</xdr:row>
      <xdr:rowOff>81664</xdr:rowOff>
    </xdr:to>
    <xdr:pic>
      <xdr:nvPicPr>
        <xdr:cNvPr id="4" name="Immagine 3">
          <a:extLst>
            <a:ext uri="{FF2B5EF4-FFF2-40B4-BE49-F238E27FC236}">
              <a16:creationId xmlns:a16="http://schemas.microsoft.com/office/drawing/2014/main" id="{19FF1BE7-D43D-D04D-A49C-B7B512CB9BF6}"/>
            </a:ext>
          </a:extLst>
        </xdr:cNvPr>
        <xdr:cNvPicPr>
          <a:picLocks noChangeAspect="1"/>
        </xdr:cNvPicPr>
      </xdr:nvPicPr>
      <xdr:blipFill>
        <a:blip xmlns:r="http://schemas.openxmlformats.org/officeDocument/2006/relationships" r:embed="rId3"/>
        <a:stretch>
          <a:fillRect/>
        </a:stretch>
      </xdr:blipFill>
      <xdr:spPr>
        <a:xfrm>
          <a:off x="35830719" y="1063076"/>
          <a:ext cx="7760752" cy="4758988"/>
        </a:xfrm>
        <a:prstGeom prst="rect">
          <a:avLst/>
        </a:prstGeom>
      </xdr:spPr>
    </xdr:pic>
    <xdr:clientData/>
  </xdr:twoCellAnchor>
  <xdr:twoCellAnchor editAs="oneCell">
    <xdr:from>
      <xdr:col>2</xdr:col>
      <xdr:colOff>797442</xdr:colOff>
      <xdr:row>37</xdr:row>
      <xdr:rowOff>88604</xdr:rowOff>
    </xdr:from>
    <xdr:to>
      <xdr:col>11</xdr:col>
      <xdr:colOff>202610</xdr:colOff>
      <xdr:row>65</xdr:row>
      <xdr:rowOff>8626</xdr:rowOff>
    </xdr:to>
    <xdr:pic>
      <xdr:nvPicPr>
        <xdr:cNvPr id="5" name="Immagine 4">
          <a:extLst>
            <a:ext uri="{FF2B5EF4-FFF2-40B4-BE49-F238E27FC236}">
              <a16:creationId xmlns:a16="http://schemas.microsoft.com/office/drawing/2014/main" id="{628C7B07-1F3B-F144-8809-4049445C94C6}"/>
            </a:ext>
          </a:extLst>
        </xdr:cNvPr>
        <xdr:cNvPicPr>
          <a:picLocks noChangeAspect="1"/>
        </xdr:cNvPicPr>
      </xdr:nvPicPr>
      <xdr:blipFill>
        <a:blip xmlns:r="http://schemas.openxmlformats.org/officeDocument/2006/relationships" r:embed="rId4"/>
        <a:stretch>
          <a:fillRect/>
        </a:stretch>
      </xdr:blipFill>
      <xdr:spPr>
        <a:xfrm>
          <a:off x="6804542" y="8102304"/>
          <a:ext cx="7761768" cy="5635022"/>
        </a:xfrm>
        <a:prstGeom prst="rect">
          <a:avLst/>
        </a:prstGeom>
      </xdr:spPr>
    </xdr:pic>
    <xdr:clientData/>
  </xdr:twoCellAnchor>
  <xdr:twoCellAnchor editAs="oneCell">
    <xdr:from>
      <xdr:col>67</xdr:col>
      <xdr:colOff>708212</xdr:colOff>
      <xdr:row>62</xdr:row>
      <xdr:rowOff>175560</xdr:rowOff>
    </xdr:from>
    <xdr:to>
      <xdr:col>73</xdr:col>
      <xdr:colOff>784412</xdr:colOff>
      <xdr:row>102</xdr:row>
      <xdr:rowOff>175560</xdr:rowOff>
    </xdr:to>
    <xdr:pic>
      <xdr:nvPicPr>
        <xdr:cNvPr id="6" name="Immagine 5">
          <a:extLst>
            <a:ext uri="{FF2B5EF4-FFF2-40B4-BE49-F238E27FC236}">
              <a16:creationId xmlns:a16="http://schemas.microsoft.com/office/drawing/2014/main" id="{70614237-BC3A-3247-B847-C5F9C1B5C3A5}"/>
            </a:ext>
          </a:extLst>
        </xdr:cNvPr>
        <xdr:cNvPicPr>
          <a:picLocks noChangeAspect="1"/>
        </xdr:cNvPicPr>
      </xdr:nvPicPr>
      <xdr:blipFill>
        <a:blip xmlns:r="http://schemas.openxmlformats.org/officeDocument/2006/relationships" r:embed="rId5"/>
        <a:stretch>
          <a:fillRect/>
        </a:stretch>
      </xdr:blipFill>
      <xdr:spPr>
        <a:xfrm>
          <a:off x="65109912" y="13294660"/>
          <a:ext cx="5029200" cy="8128000"/>
        </a:xfrm>
        <a:prstGeom prst="rect">
          <a:avLst/>
        </a:prstGeom>
      </xdr:spPr>
    </xdr:pic>
    <xdr:clientData/>
  </xdr:twoCellAnchor>
  <xdr:twoCellAnchor editAs="oneCell">
    <xdr:from>
      <xdr:col>55</xdr:col>
      <xdr:colOff>291262</xdr:colOff>
      <xdr:row>86</xdr:row>
      <xdr:rowOff>2033</xdr:rowOff>
    </xdr:from>
    <xdr:to>
      <xdr:col>64</xdr:col>
      <xdr:colOff>641723</xdr:colOff>
      <xdr:row>105</xdr:row>
      <xdr:rowOff>26054</xdr:rowOff>
    </xdr:to>
    <xdr:pic>
      <xdr:nvPicPr>
        <xdr:cNvPr id="7" name="Immagine 6">
          <a:extLst>
            <a:ext uri="{FF2B5EF4-FFF2-40B4-BE49-F238E27FC236}">
              <a16:creationId xmlns:a16="http://schemas.microsoft.com/office/drawing/2014/main" id="{BB3EC24C-8918-E146-8321-0A9856C15996}"/>
            </a:ext>
          </a:extLst>
        </xdr:cNvPr>
        <xdr:cNvPicPr>
          <a:picLocks noChangeAspect="1"/>
        </xdr:cNvPicPr>
      </xdr:nvPicPr>
      <xdr:blipFill>
        <a:blip xmlns:r="http://schemas.openxmlformats.org/officeDocument/2006/relationships" r:embed="rId6"/>
        <a:stretch>
          <a:fillRect/>
        </a:stretch>
      </xdr:blipFill>
      <xdr:spPr>
        <a:xfrm>
          <a:off x="54786962" y="17997933"/>
          <a:ext cx="7779961" cy="388482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102870</xdr:colOff>
      <xdr:row>3</xdr:row>
      <xdr:rowOff>60960</xdr:rowOff>
    </xdr:from>
    <xdr:to>
      <xdr:col>12</xdr:col>
      <xdr:colOff>217170</xdr:colOff>
      <xdr:row>17</xdr:row>
      <xdr:rowOff>30480</xdr:rowOff>
    </xdr:to>
    <xdr:graphicFrame macro="">
      <xdr:nvGraphicFramePr>
        <xdr:cNvPr id="29" name="Chart 1">
          <a:extLst>
            <a:ext uri="{FF2B5EF4-FFF2-40B4-BE49-F238E27FC236}">
              <a16:creationId xmlns:a16="http://schemas.microsoft.com/office/drawing/2014/main" id="{3E9BE6AD-0632-7925-45A9-3C68A278C4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14</xdr:col>
      <xdr:colOff>342347</xdr:colOff>
      <xdr:row>207</xdr:row>
      <xdr:rowOff>174486</xdr:rowOff>
    </xdr:from>
    <xdr:to>
      <xdr:col>21</xdr:col>
      <xdr:colOff>386521</xdr:colOff>
      <xdr:row>227</xdr:row>
      <xdr:rowOff>66260</xdr:rowOff>
    </xdr:to>
    <xdr:graphicFrame macro="">
      <xdr:nvGraphicFramePr>
        <xdr:cNvPr id="5" name="Grafico 1">
          <a:extLst>
            <a:ext uri="{FF2B5EF4-FFF2-40B4-BE49-F238E27FC236}">
              <a16:creationId xmlns:a16="http://schemas.microsoft.com/office/drawing/2014/main" id="{0C633F25-8B86-DABC-4B5C-BD31A85C40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13</xdr:col>
      <xdr:colOff>355598</xdr:colOff>
      <xdr:row>4</xdr:row>
      <xdr:rowOff>76200</xdr:rowOff>
    </xdr:from>
    <xdr:to>
      <xdr:col>20</xdr:col>
      <xdr:colOff>0</xdr:colOff>
      <xdr:row>15</xdr:row>
      <xdr:rowOff>98778</xdr:rowOff>
    </xdr:to>
    <xdr:graphicFrame macro="">
      <xdr:nvGraphicFramePr>
        <xdr:cNvPr id="2" name="Grafico 1">
          <a:extLst>
            <a:ext uri="{FF2B5EF4-FFF2-40B4-BE49-F238E27FC236}">
              <a16:creationId xmlns:a16="http://schemas.microsoft.com/office/drawing/2014/main" id="{50388A25-13BD-5645-A379-D65828B11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355600</xdr:colOff>
      <xdr:row>15</xdr:row>
      <xdr:rowOff>101600</xdr:rowOff>
    </xdr:from>
    <xdr:to>
      <xdr:col>19</xdr:col>
      <xdr:colOff>368299</xdr:colOff>
      <xdr:row>30</xdr:row>
      <xdr:rowOff>101871</xdr:rowOff>
    </xdr:to>
    <xdr:graphicFrame macro="">
      <xdr:nvGraphicFramePr>
        <xdr:cNvPr id="3" name="Grafico 2">
          <a:extLst>
            <a:ext uri="{FF2B5EF4-FFF2-40B4-BE49-F238E27FC236}">
              <a16:creationId xmlns:a16="http://schemas.microsoft.com/office/drawing/2014/main" id="{13AC82A3-AD18-FB4F-8D98-3971084EE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365239</xdr:colOff>
      <xdr:row>15</xdr:row>
      <xdr:rowOff>102342</xdr:rowOff>
    </xdr:from>
    <xdr:to>
      <xdr:col>25</xdr:col>
      <xdr:colOff>352261</xdr:colOff>
      <xdr:row>30</xdr:row>
      <xdr:rowOff>92700</xdr:rowOff>
    </xdr:to>
    <xdr:graphicFrame macro="">
      <xdr:nvGraphicFramePr>
        <xdr:cNvPr id="4" name="Grafico 3">
          <a:extLst>
            <a:ext uri="{FF2B5EF4-FFF2-40B4-BE49-F238E27FC236}">
              <a16:creationId xmlns:a16="http://schemas.microsoft.com/office/drawing/2014/main" id="{7D4895AF-6919-F048-A286-F99CA2A46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344714</xdr:colOff>
      <xdr:row>30</xdr:row>
      <xdr:rowOff>79829</xdr:rowOff>
    </xdr:from>
    <xdr:to>
      <xdr:col>19</xdr:col>
      <xdr:colOff>362856</xdr:colOff>
      <xdr:row>43</xdr:row>
      <xdr:rowOff>220134</xdr:rowOff>
    </xdr:to>
    <xdr:graphicFrame macro="">
      <xdr:nvGraphicFramePr>
        <xdr:cNvPr id="5" name="Grafico 4">
          <a:extLst>
            <a:ext uri="{FF2B5EF4-FFF2-40B4-BE49-F238E27FC236}">
              <a16:creationId xmlns:a16="http://schemas.microsoft.com/office/drawing/2014/main" id="{B2553016-0BC9-7148-BC7B-FE5EE9614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346310</xdr:colOff>
      <xdr:row>59</xdr:row>
      <xdr:rowOff>66368</xdr:rowOff>
    </xdr:from>
    <xdr:to>
      <xdr:col>19</xdr:col>
      <xdr:colOff>346310</xdr:colOff>
      <xdr:row>76</xdr:row>
      <xdr:rowOff>100120</xdr:rowOff>
    </xdr:to>
    <xdr:graphicFrame macro="">
      <xdr:nvGraphicFramePr>
        <xdr:cNvPr id="6" name="Grafico 5">
          <a:extLst>
            <a:ext uri="{FF2B5EF4-FFF2-40B4-BE49-F238E27FC236}">
              <a16:creationId xmlns:a16="http://schemas.microsoft.com/office/drawing/2014/main" id="{57C2E623-CAD3-504E-8972-A94A15E93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346310</xdr:colOff>
      <xdr:row>59</xdr:row>
      <xdr:rowOff>66368</xdr:rowOff>
    </xdr:from>
    <xdr:to>
      <xdr:col>25</xdr:col>
      <xdr:colOff>566443</xdr:colOff>
      <xdr:row>76</xdr:row>
      <xdr:rowOff>135250</xdr:rowOff>
    </xdr:to>
    <xdr:graphicFrame macro="">
      <xdr:nvGraphicFramePr>
        <xdr:cNvPr id="7" name="Grafico 6">
          <a:extLst>
            <a:ext uri="{FF2B5EF4-FFF2-40B4-BE49-F238E27FC236}">
              <a16:creationId xmlns:a16="http://schemas.microsoft.com/office/drawing/2014/main" id="{721F69D6-CC13-864D-AFDF-9CE1A7CC2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406399</xdr:colOff>
      <xdr:row>30</xdr:row>
      <xdr:rowOff>101600</xdr:rowOff>
    </xdr:from>
    <xdr:to>
      <xdr:col>25</xdr:col>
      <xdr:colOff>389466</xdr:colOff>
      <xdr:row>43</xdr:row>
      <xdr:rowOff>194734</xdr:rowOff>
    </xdr:to>
    <xdr:graphicFrame macro="">
      <xdr:nvGraphicFramePr>
        <xdr:cNvPr id="8" name="Grafico 7">
          <a:extLst>
            <a:ext uri="{FF2B5EF4-FFF2-40B4-BE49-F238E27FC236}">
              <a16:creationId xmlns:a16="http://schemas.microsoft.com/office/drawing/2014/main" id="{EA7236DE-5E07-5B44-B9C1-D58E1A1AB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372534</xdr:colOff>
      <xdr:row>43</xdr:row>
      <xdr:rowOff>203199</xdr:rowOff>
    </xdr:from>
    <xdr:to>
      <xdr:col>19</xdr:col>
      <xdr:colOff>372534</xdr:colOff>
      <xdr:row>48</xdr:row>
      <xdr:rowOff>796120</xdr:rowOff>
    </xdr:to>
    <xdr:graphicFrame macro="">
      <xdr:nvGraphicFramePr>
        <xdr:cNvPr id="9" name="Grafico 8">
          <a:extLst>
            <a:ext uri="{FF2B5EF4-FFF2-40B4-BE49-F238E27FC236}">
              <a16:creationId xmlns:a16="http://schemas.microsoft.com/office/drawing/2014/main" id="{7B92D8E6-18EB-B74C-B13B-E6283C4BB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348226</xdr:colOff>
      <xdr:row>48</xdr:row>
      <xdr:rowOff>860322</xdr:rowOff>
    </xdr:from>
    <xdr:to>
      <xdr:col>19</xdr:col>
      <xdr:colOff>409677</xdr:colOff>
      <xdr:row>58</xdr:row>
      <xdr:rowOff>165965</xdr:rowOff>
    </xdr:to>
    <xdr:graphicFrame macro="">
      <xdr:nvGraphicFramePr>
        <xdr:cNvPr id="10" name="Grafico 9">
          <a:extLst>
            <a:ext uri="{FF2B5EF4-FFF2-40B4-BE49-F238E27FC236}">
              <a16:creationId xmlns:a16="http://schemas.microsoft.com/office/drawing/2014/main" id="{0F76DDD1-8EB3-4840-B9EE-1BDDEA171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425493</xdr:colOff>
      <xdr:row>48</xdr:row>
      <xdr:rowOff>860321</xdr:rowOff>
    </xdr:from>
    <xdr:to>
      <xdr:col>25</xdr:col>
      <xdr:colOff>614516</xdr:colOff>
      <xdr:row>59</xdr:row>
      <xdr:rowOff>17997</xdr:rowOff>
    </xdr:to>
    <xdr:graphicFrame macro="">
      <xdr:nvGraphicFramePr>
        <xdr:cNvPr id="11" name="Grafico 10">
          <a:extLst>
            <a:ext uri="{FF2B5EF4-FFF2-40B4-BE49-F238E27FC236}">
              <a16:creationId xmlns:a16="http://schemas.microsoft.com/office/drawing/2014/main" id="{5CA48F50-4E92-4349-9C1B-4E29623C0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355599</xdr:colOff>
      <xdr:row>76</xdr:row>
      <xdr:rowOff>110065</xdr:rowOff>
    </xdr:from>
    <xdr:to>
      <xdr:col>19</xdr:col>
      <xdr:colOff>338666</xdr:colOff>
      <xdr:row>86</xdr:row>
      <xdr:rowOff>0</xdr:rowOff>
    </xdr:to>
    <xdr:graphicFrame macro="">
      <xdr:nvGraphicFramePr>
        <xdr:cNvPr id="12" name="Grafico 11">
          <a:extLst>
            <a:ext uri="{FF2B5EF4-FFF2-40B4-BE49-F238E27FC236}">
              <a16:creationId xmlns:a16="http://schemas.microsoft.com/office/drawing/2014/main" id="{DD319D85-6C40-3B41-897C-A465C9662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263056</xdr:colOff>
      <xdr:row>86</xdr:row>
      <xdr:rowOff>840991</xdr:rowOff>
    </xdr:from>
    <xdr:to>
      <xdr:col>19</xdr:col>
      <xdr:colOff>238880</xdr:colOff>
      <xdr:row>95</xdr:row>
      <xdr:rowOff>19957</xdr:rowOff>
    </xdr:to>
    <xdr:graphicFrame macro="">
      <xdr:nvGraphicFramePr>
        <xdr:cNvPr id="13" name="Grafico 12">
          <a:extLst>
            <a:ext uri="{FF2B5EF4-FFF2-40B4-BE49-F238E27FC236}">
              <a16:creationId xmlns:a16="http://schemas.microsoft.com/office/drawing/2014/main" id="{F62EDFFB-B39D-2145-88C8-65B7E7352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339271</xdr:colOff>
      <xdr:row>95</xdr:row>
      <xdr:rowOff>608996</xdr:rowOff>
    </xdr:from>
    <xdr:to>
      <xdr:col>20</xdr:col>
      <xdr:colOff>115509</xdr:colOff>
      <xdr:row>113</xdr:row>
      <xdr:rowOff>101602</xdr:rowOff>
    </xdr:to>
    <xdr:graphicFrame macro="">
      <xdr:nvGraphicFramePr>
        <xdr:cNvPr id="14" name="Grafico 13">
          <a:extLst>
            <a:ext uri="{FF2B5EF4-FFF2-40B4-BE49-F238E27FC236}">
              <a16:creationId xmlns:a16="http://schemas.microsoft.com/office/drawing/2014/main" id="{F614E434-0DC7-F94A-ABD4-32E674180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381000</xdr:colOff>
      <xdr:row>86</xdr:row>
      <xdr:rowOff>736601</xdr:rowOff>
    </xdr:from>
    <xdr:to>
      <xdr:col>25</xdr:col>
      <xdr:colOff>203200</xdr:colOff>
      <xdr:row>94</xdr:row>
      <xdr:rowOff>152400</xdr:rowOff>
    </xdr:to>
    <xdr:graphicFrame macro="">
      <xdr:nvGraphicFramePr>
        <xdr:cNvPr id="15" name="Grafico 14">
          <a:extLst>
            <a:ext uri="{FF2B5EF4-FFF2-40B4-BE49-F238E27FC236}">
              <a16:creationId xmlns:a16="http://schemas.microsoft.com/office/drawing/2014/main" id="{33F39B71-85F0-5641-B849-485D6C832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20</xdr:col>
      <xdr:colOff>419100</xdr:colOff>
      <xdr:row>95</xdr:row>
      <xdr:rowOff>457200</xdr:rowOff>
    </xdr:from>
    <xdr:to>
      <xdr:col>26</xdr:col>
      <xdr:colOff>533400</xdr:colOff>
      <xdr:row>113</xdr:row>
      <xdr:rowOff>50800</xdr:rowOff>
    </xdr:to>
    <xdr:graphicFrame macro="">
      <xdr:nvGraphicFramePr>
        <xdr:cNvPr id="16" name="Grafico 15">
          <a:extLst>
            <a:ext uri="{FF2B5EF4-FFF2-40B4-BE49-F238E27FC236}">
              <a16:creationId xmlns:a16="http://schemas.microsoft.com/office/drawing/2014/main" id="{4F5548DA-8900-4648-B12F-D13483CC1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475287</xdr:colOff>
      <xdr:row>114</xdr:row>
      <xdr:rowOff>173181</xdr:rowOff>
    </xdr:from>
    <xdr:to>
      <xdr:col>23</xdr:col>
      <xdr:colOff>558030</xdr:colOff>
      <xdr:row>147</xdr:row>
      <xdr:rowOff>115453</xdr:rowOff>
    </xdr:to>
    <xdr:graphicFrame macro="">
      <xdr:nvGraphicFramePr>
        <xdr:cNvPr id="18" name="Grafico 17">
          <a:extLst>
            <a:ext uri="{FF2B5EF4-FFF2-40B4-BE49-F238E27FC236}">
              <a16:creationId xmlns:a16="http://schemas.microsoft.com/office/drawing/2014/main" id="{C12CC10F-AB5A-18C8-0F03-DE5D8CE1C7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407458</xdr:colOff>
      <xdr:row>6</xdr:row>
      <xdr:rowOff>78317</xdr:rowOff>
    </xdr:from>
    <xdr:to>
      <xdr:col>8</xdr:col>
      <xdr:colOff>68791</xdr:colOff>
      <xdr:row>21</xdr:row>
      <xdr:rowOff>122767</xdr:rowOff>
    </xdr:to>
    <xdr:graphicFrame macro="">
      <xdr:nvGraphicFramePr>
        <xdr:cNvPr id="2" name="Chart 1">
          <a:extLst>
            <a:ext uri="{FF2B5EF4-FFF2-40B4-BE49-F238E27FC236}">
              <a16:creationId xmlns:a16="http://schemas.microsoft.com/office/drawing/2014/main" id="{D05855E6-B188-4A6A-BAC4-B138E4B839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428625</xdr:colOff>
      <xdr:row>6</xdr:row>
      <xdr:rowOff>78317</xdr:rowOff>
    </xdr:from>
    <xdr:to>
      <xdr:col>17</xdr:col>
      <xdr:colOff>89958</xdr:colOff>
      <xdr:row>21</xdr:row>
      <xdr:rowOff>122767</xdr:rowOff>
    </xdr:to>
    <xdr:graphicFrame macro="">
      <xdr:nvGraphicFramePr>
        <xdr:cNvPr id="3" name="Chart 2">
          <a:extLst>
            <a:ext uri="{FF2B5EF4-FFF2-40B4-BE49-F238E27FC236}">
              <a16:creationId xmlns:a16="http://schemas.microsoft.com/office/drawing/2014/main" id="{349A2A3F-4FC5-4387-9C4B-4CC116173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407458</xdr:colOff>
      <xdr:row>6</xdr:row>
      <xdr:rowOff>14817</xdr:rowOff>
    </xdr:from>
    <xdr:to>
      <xdr:col>25</xdr:col>
      <xdr:colOff>68792</xdr:colOff>
      <xdr:row>21</xdr:row>
      <xdr:rowOff>59267</xdr:rowOff>
    </xdr:to>
    <xdr:graphicFrame macro="">
      <xdr:nvGraphicFramePr>
        <xdr:cNvPr id="4" name="Chart 3">
          <a:extLst>
            <a:ext uri="{FF2B5EF4-FFF2-40B4-BE49-F238E27FC236}">
              <a16:creationId xmlns:a16="http://schemas.microsoft.com/office/drawing/2014/main" id="{9DA8C23E-170A-4AD8-AA04-562C20546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333375</xdr:colOff>
      <xdr:row>5</xdr:row>
      <xdr:rowOff>162984</xdr:rowOff>
    </xdr:from>
    <xdr:to>
      <xdr:col>32</xdr:col>
      <xdr:colOff>608541</xdr:colOff>
      <xdr:row>21</xdr:row>
      <xdr:rowOff>27517</xdr:rowOff>
    </xdr:to>
    <xdr:graphicFrame macro="">
      <xdr:nvGraphicFramePr>
        <xdr:cNvPr id="5" name="Chart 4">
          <a:extLst>
            <a:ext uri="{FF2B5EF4-FFF2-40B4-BE49-F238E27FC236}">
              <a16:creationId xmlns:a16="http://schemas.microsoft.com/office/drawing/2014/main" id="{8F81985A-BB6B-4A1D-B9A1-A91A8687ED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Ntdata3/Investor%20Relations/LATAM%20AIRLINES%20GROUP/Resultados%20Trimestrales/Inputs%20Tabla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tdata3/LATAM%20AIRLINES%20GROUP/Resultados%20Trimestrales/Inputs%20Tabla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tdata3/LATAM%20AIRLINES%20GROUP/Resultados%20Trimestrales/2016/2Q%202016/Tablas/Estado%20de%20Resultado%20USA%202Q%202016%20LATA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ricca/Downloads/Latam_Value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gabri/Downloads/Copy%20of%20Multiples%20-%20Regression(904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2006"/>
      <sheetName val="Base 2008"/>
      <sheetName val="Base 2009"/>
      <sheetName val="Base 2010"/>
      <sheetName val="Base 2011"/>
      <sheetName val="Base 2012"/>
      <sheetName val="Base 2013"/>
      <sheetName val="Base 2014"/>
      <sheetName val="Base 2015"/>
      <sheetName val="Base 2016"/>
      <sheetName val="Base 2017"/>
      <sheetName val="Base 2018"/>
      <sheetName val="Base 2019"/>
      <sheetName val="P&amp;L"/>
      <sheetName val="BS"/>
      <sheetName val="Comparativo US$ Q &amp; Ytd"/>
      <sheetName val="BS-A"/>
      <sheetName val="BS-LE"/>
      <sheetName val="CF_"/>
      <sheetName val="Valores 2010"/>
      <sheetName val="Valores 2011"/>
      <sheetName val="Valores 2012"/>
      <sheetName val="Valores 2013"/>
      <sheetName val="Valores 2014"/>
      <sheetName val="Valores 2015"/>
      <sheetName val="Valores 2016"/>
      <sheetName val="Valores 2017"/>
      <sheetName val="Valores 2018"/>
      <sheetName val="Estad Holding 2011"/>
      <sheetName val="Estad Holding 2012"/>
      <sheetName val="Estad Holding 2013"/>
      <sheetName val="Estad Holding 2014"/>
      <sheetName val="Estad Holding 2015"/>
      <sheetName val="Estad Holding 2016"/>
      <sheetName val="Valores 2019"/>
      <sheetName val="Base 2020"/>
      <sheetName val="Valores 2020"/>
      <sheetName val="Estad Holding 2017"/>
      <sheetName val="Estad Holding 2018"/>
      <sheetName val="Oper Inc RE&amp;FO"/>
      <sheetName val="Tipos de Cambio"/>
      <sheetName val="Comparativo Indices"/>
      <sheetName val="Shares Outstand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C1" t="str">
            <v>January</v>
          </cell>
        </row>
        <row r="4">
          <cell r="D4" t="str">
            <v>Ene_02</v>
          </cell>
          <cell r="E4" t="str">
            <v>Ene_03</v>
          </cell>
          <cell r="F4" t="str">
            <v>Ene_04</v>
          </cell>
          <cell r="G4" t="str">
            <v>Feb_01</v>
          </cell>
          <cell r="H4" t="str">
            <v>Feb_02</v>
          </cell>
          <cell r="I4" t="str">
            <v>Feb_03</v>
          </cell>
          <cell r="J4" t="str">
            <v>Feb_04</v>
          </cell>
          <cell r="K4" t="str">
            <v>Mar_01</v>
          </cell>
          <cell r="L4" t="str">
            <v>Mar_02</v>
          </cell>
          <cell r="M4" t="str">
            <v>Mar_03</v>
          </cell>
          <cell r="N4" t="str">
            <v>Mar_04</v>
          </cell>
          <cell r="O4" t="str">
            <v>Abr_01</v>
          </cell>
          <cell r="P4" t="str">
            <v>Abr_02</v>
          </cell>
          <cell r="Q4" t="str">
            <v>Abr_03</v>
          </cell>
          <cell r="R4" t="str">
            <v>Abr_04</v>
          </cell>
          <cell r="S4" t="str">
            <v>May_01</v>
          </cell>
          <cell r="T4" t="str">
            <v>May_02</v>
          </cell>
          <cell r="U4" t="str">
            <v>May_03</v>
          </cell>
          <cell r="V4" t="str">
            <v>May_04</v>
          </cell>
          <cell r="W4" t="str">
            <v>Jun_01</v>
          </cell>
          <cell r="X4" t="str">
            <v>Jun_02</v>
          </cell>
          <cell r="Y4" t="str">
            <v>Jun_03</v>
          </cell>
          <cell r="Z4" t="str">
            <v>Jun_04</v>
          </cell>
          <cell r="AA4" t="str">
            <v>Jul_01</v>
          </cell>
          <cell r="AB4" t="str">
            <v>Jul_02</v>
          </cell>
          <cell r="AC4" t="str">
            <v>Jul_03</v>
          </cell>
          <cell r="AD4" t="str">
            <v>Jul_04</v>
          </cell>
          <cell r="AE4" t="str">
            <v>Jul_01</v>
          </cell>
          <cell r="AF4" t="str">
            <v>Ago_02</v>
          </cell>
          <cell r="AG4" t="str">
            <v>Ago_03</v>
          </cell>
          <cell r="AH4" t="str">
            <v>Ago_04</v>
          </cell>
          <cell r="AI4" t="str">
            <v>Sep_01</v>
          </cell>
          <cell r="AJ4" t="str">
            <v>Sep_02</v>
          </cell>
          <cell r="AK4" t="str">
            <v>Sep_03</v>
          </cell>
          <cell r="AL4" t="str">
            <v>Sep_04</v>
          </cell>
          <cell r="AM4" t="str">
            <v>Oct_01</v>
          </cell>
          <cell r="AN4" t="str">
            <v>Oct_02</v>
          </cell>
          <cell r="AO4" t="str">
            <v>Oct_03</v>
          </cell>
          <cell r="AP4" t="str">
            <v>Oct_04</v>
          </cell>
          <cell r="AQ4" t="str">
            <v>Nov_01</v>
          </cell>
          <cell r="AR4" t="str">
            <v>Nov_02</v>
          </cell>
          <cell r="AS4" t="str">
            <v>Nov_03</v>
          </cell>
          <cell r="AT4" t="str">
            <v>Nov_04</v>
          </cell>
          <cell r="AX4" t="str">
            <v>Dic_04</v>
          </cell>
          <cell r="AZ4" t="str">
            <v>Acum_01</v>
          </cell>
          <cell r="BA4" t="str">
            <v>Acum_02</v>
          </cell>
          <cell r="BB4" t="str">
            <v>Acum_03</v>
          </cell>
          <cell r="BC4" t="str">
            <v>Acum_04</v>
          </cell>
          <cell r="BE4" t="str">
            <v>1Q_01</v>
          </cell>
          <cell r="BF4" t="str">
            <v>1Q_02</v>
          </cell>
          <cell r="BG4" t="str">
            <v>1Q_03</v>
          </cell>
          <cell r="BH4" t="str">
            <v>1Q_04</v>
          </cell>
          <cell r="BI4" t="str">
            <v>2Q_01</v>
          </cell>
          <cell r="BJ4" t="str">
            <v>2Q_02</v>
          </cell>
          <cell r="BK4" t="str">
            <v>2Q_03</v>
          </cell>
          <cell r="BL4" t="str">
            <v>2Q_04</v>
          </cell>
        </row>
        <row r="5">
          <cell r="D5">
            <v>977458.61470161332</v>
          </cell>
          <cell r="E5">
            <v>350049.66191685351</v>
          </cell>
          <cell r="F5">
            <v>665375.61427446641</v>
          </cell>
          <cell r="G5">
            <v>792924.89769470622</v>
          </cell>
          <cell r="H5">
            <v>801240.38378312183</v>
          </cell>
          <cell r="I5">
            <v>277612.43924707419</v>
          </cell>
          <cell r="J5">
            <v>595287.86279428902</v>
          </cell>
          <cell r="K5">
            <v>804201.62800778192</v>
          </cell>
          <cell r="L5">
            <v>573626.49162776023</v>
          </cell>
          <cell r="M5">
            <v>285502.07443204732</v>
          </cell>
          <cell r="N5">
            <v>698367.26087543077</v>
          </cell>
          <cell r="O5">
            <v>747013.40620641713</v>
          </cell>
          <cell r="P5">
            <v>183340.33672358148</v>
          </cell>
          <cell r="Q5">
            <v>256252.75470843702</v>
          </cell>
          <cell r="R5">
            <v>731172.51685467176</v>
          </cell>
          <cell r="S5">
            <v>782205.556933805</v>
          </cell>
          <cell r="T5">
            <v>265933.66116382985</v>
          </cell>
          <cell r="U5">
            <v>319531.80073823797</v>
          </cell>
          <cell r="V5">
            <v>738110.44665121136</v>
          </cell>
          <cell r="W5">
            <v>840736.44615138473</v>
          </cell>
          <cell r="X5">
            <v>122611.03604452977</v>
          </cell>
          <cell r="Y5">
            <v>312919.83282930311</v>
          </cell>
          <cell r="Z5">
            <v>756803.61878624349</v>
          </cell>
          <cell r="AD5">
            <v>0</v>
          </cell>
          <cell r="AH5">
            <v>0</v>
          </cell>
          <cell r="AL5">
            <v>0</v>
          </cell>
          <cell r="AP5">
            <v>0</v>
          </cell>
          <cell r="AT5">
            <v>0</v>
          </cell>
          <cell r="AX5">
            <v>0</v>
          </cell>
          <cell r="AZ5">
            <v>4895223.8023783611</v>
          </cell>
          <cell r="BA5">
            <v>2924209.5240444364</v>
          </cell>
          <cell r="BB5">
            <v>1801867.5638719534</v>
          </cell>
          <cell r="BC5">
            <v>4185117.3202363127</v>
          </cell>
          <cell r="BE5">
            <v>2525268.3930867552</v>
          </cell>
          <cell r="BF5">
            <v>2352325.4901124956</v>
          </cell>
          <cell r="BG5">
            <v>913163.17559597502</v>
          </cell>
          <cell r="BH5">
            <v>1959030.7379441864</v>
          </cell>
          <cell r="BI5">
            <v>2369955.4092916069</v>
          </cell>
          <cell r="BJ5">
            <v>571884.03393194114</v>
          </cell>
          <cell r="BK5">
            <v>888704.38827597862</v>
          </cell>
          <cell r="BL5">
            <v>2226086.5822921265</v>
          </cell>
        </row>
        <row r="6">
          <cell r="D6">
            <v>862994.39002085174</v>
          </cell>
          <cell r="E6">
            <v>210008.1560022693</v>
          </cell>
          <cell r="F6">
            <v>539234.5306553737</v>
          </cell>
          <cell r="G6">
            <v>678646.30825033423</v>
          </cell>
          <cell r="H6">
            <v>698034.90511201462</v>
          </cell>
          <cell r="I6">
            <v>148634.45401237276</v>
          </cell>
          <cell r="J6">
            <v>441473.94108297641</v>
          </cell>
          <cell r="K6">
            <v>677469.87498873414</v>
          </cell>
          <cell r="L6">
            <v>452672.66764455382</v>
          </cell>
          <cell r="M6">
            <v>138336.2097658148</v>
          </cell>
          <cell r="N6">
            <v>505530.28265649051</v>
          </cell>
          <cell r="O6">
            <v>627242.6370916107</v>
          </cell>
          <cell r="P6">
            <v>69819.680556708088</v>
          </cell>
          <cell r="Q6">
            <v>101997.89996614245</v>
          </cell>
          <cell r="R6">
            <v>556307.67072927894</v>
          </cell>
          <cell r="S6">
            <v>657916.18364485237</v>
          </cell>
          <cell r="T6">
            <v>48236.720862563496</v>
          </cell>
          <cell r="U6">
            <v>164643.140337544</v>
          </cell>
          <cell r="V6">
            <v>556746.23541052127</v>
          </cell>
          <cell r="W6">
            <v>734516.01361811359</v>
          </cell>
          <cell r="X6">
            <v>4890.269382135305</v>
          </cell>
          <cell r="Y6">
            <v>189049.95489286538</v>
          </cell>
          <cell r="Z6">
            <v>600331.23548688844</v>
          </cell>
          <cell r="AD6">
            <v>0</v>
          </cell>
          <cell r="AH6">
            <v>0</v>
          </cell>
          <cell r="AL6">
            <v>0</v>
          </cell>
          <cell r="AP6">
            <v>0</v>
          </cell>
          <cell r="AT6">
            <v>0</v>
          </cell>
          <cell r="AX6">
            <v>0</v>
          </cell>
          <cell r="AZ6">
            <v>4187656.7944827387</v>
          </cell>
          <cell r="BA6">
            <v>2136648.6335788271</v>
          </cell>
          <cell r="BB6">
            <v>952669.81497700873</v>
          </cell>
          <cell r="BC6">
            <v>3199623.8960215291</v>
          </cell>
          <cell r="BE6">
            <v>2167981.9601281625</v>
          </cell>
          <cell r="BF6">
            <v>2013701.9627774202</v>
          </cell>
          <cell r="BG6">
            <v>496978.81978045683</v>
          </cell>
          <cell r="BH6">
            <v>1486238.7543948407</v>
          </cell>
          <cell r="BI6">
            <v>2019674.8343545767</v>
          </cell>
          <cell r="BJ6">
            <v>122946.67080140689</v>
          </cell>
          <cell r="BK6">
            <v>455690.99519655184</v>
          </cell>
          <cell r="BL6">
            <v>1713385.1416266887</v>
          </cell>
        </row>
        <row r="7">
          <cell r="D7">
            <v>859036.57403840008</v>
          </cell>
          <cell r="E7">
            <v>201179.64707213</v>
          </cell>
          <cell r="F7">
            <v>524188.88073085301</v>
          </cell>
          <cell r="G7">
            <v>663547.50081034005</v>
          </cell>
          <cell r="H7">
            <v>694065.55906631809</v>
          </cell>
          <cell r="I7">
            <v>142723.83384920901</v>
          </cell>
          <cell r="J7">
            <v>428592.88269803999</v>
          </cell>
          <cell r="K7">
            <v>664496.14183557907</v>
          </cell>
          <cell r="L7">
            <v>451922.37711115903</v>
          </cell>
          <cell r="M7">
            <v>133297.206180293</v>
          </cell>
          <cell r="N7">
            <v>493335.21390841104</v>
          </cell>
          <cell r="O7">
            <v>623764.12999342999</v>
          </cell>
          <cell r="P7">
            <v>69952.531864963501</v>
          </cell>
          <cell r="Q7">
            <v>98805.132387418897</v>
          </cell>
          <cell r="R7">
            <v>544959.53069184802</v>
          </cell>
          <cell r="S7">
            <v>654268.34810864495</v>
          </cell>
          <cell r="T7">
            <v>47913.009420954302</v>
          </cell>
          <cell r="U7">
            <v>159402.79584198902</v>
          </cell>
          <cell r="V7">
            <v>544660.28623354901</v>
          </cell>
          <cell r="W7">
            <v>730848.70150139998</v>
          </cell>
          <cell r="X7">
            <v>4663.3336701865301</v>
          </cell>
          <cell r="Y7">
            <v>182563.386972165</v>
          </cell>
          <cell r="Z7">
            <v>587964.7014494621</v>
          </cell>
          <cell r="AD7">
            <v>0</v>
          </cell>
          <cell r="AH7">
            <v>0</v>
          </cell>
          <cell r="AL7">
            <v>0</v>
          </cell>
          <cell r="AP7">
            <v>0</v>
          </cell>
          <cell r="AT7">
            <v>0</v>
          </cell>
          <cell r="AX7">
            <v>0</v>
          </cell>
          <cell r="AZ7">
            <v>4134129.4108350892</v>
          </cell>
          <cell r="BA7">
            <v>2127553.3851719815</v>
          </cell>
          <cell r="BB7">
            <v>917972.00230320485</v>
          </cell>
          <cell r="BC7">
            <v>3123701.4957121634</v>
          </cell>
          <cell r="BE7">
            <v>2125248.231231614</v>
          </cell>
          <cell r="BF7">
            <v>2005024.5102158773</v>
          </cell>
          <cell r="BG7">
            <v>477200.68710163201</v>
          </cell>
          <cell r="BH7">
            <v>1446116.977337304</v>
          </cell>
          <cell r="BI7">
            <v>2008881.1796034749</v>
          </cell>
          <cell r="BJ7">
            <v>122528.87495610434</v>
          </cell>
          <cell r="BK7">
            <v>440771.31520157296</v>
          </cell>
          <cell r="BL7">
            <v>1677584.5183748594</v>
          </cell>
        </row>
        <row r="8">
          <cell r="D8">
            <v>3957.8159824516201</v>
          </cell>
          <cell r="E8">
            <v>8828.5089301393109</v>
          </cell>
          <cell r="F8">
            <v>15045.6499245207</v>
          </cell>
          <cell r="G8">
            <v>15098.8074399942</v>
          </cell>
          <cell r="H8">
            <v>3969.3460456965699</v>
          </cell>
          <cell r="I8">
            <v>5910.6201631637596</v>
          </cell>
          <cell r="J8">
            <v>12881.058384936399</v>
          </cell>
          <cell r="K8">
            <v>12973.733153155099</v>
          </cell>
          <cell r="L8">
            <v>750.29053339476195</v>
          </cell>
          <cell r="M8">
            <v>5039.0035855218093</v>
          </cell>
          <cell r="N8">
            <v>12195.068748079499</v>
          </cell>
          <cell r="O8">
            <v>3478.5070981806698</v>
          </cell>
          <cell r="P8">
            <v>-132.85130825541702</v>
          </cell>
          <cell r="Q8">
            <v>3192.7675787235498</v>
          </cell>
          <cell r="R8">
            <v>11348.1400374309</v>
          </cell>
          <cell r="S8">
            <v>3647.8355362074299</v>
          </cell>
          <cell r="T8">
            <v>323.711441609193</v>
          </cell>
          <cell r="U8">
            <v>5241.3444955546001</v>
          </cell>
          <cell r="V8">
            <v>12085.949176972299</v>
          </cell>
          <cell r="W8">
            <v>3667.3121167136396</v>
          </cell>
          <cell r="X8">
            <v>226.93571194877498</v>
          </cell>
          <cell r="Y8">
            <v>6486.5679207003795</v>
          </cell>
          <cell r="Z8">
            <v>12366.5340374263</v>
          </cell>
          <cell r="AD8">
            <v>0</v>
          </cell>
          <cell r="AH8">
            <v>0</v>
          </cell>
          <cell r="AL8">
            <v>0</v>
          </cell>
          <cell r="AP8">
            <v>0</v>
          </cell>
          <cell r="AT8">
            <v>0</v>
          </cell>
          <cell r="AX8">
            <v>0</v>
          </cell>
          <cell r="AZ8">
            <v>53527.383647650146</v>
          </cell>
          <cell r="BA8">
            <v>9095.2484068455051</v>
          </cell>
          <cell r="BB8">
            <v>34698.812673803412</v>
          </cell>
          <cell r="BC8">
            <v>75922.400309366101</v>
          </cell>
          <cell r="BE8">
            <v>42733.728896548404</v>
          </cell>
          <cell r="BF8">
            <v>8677.452561542952</v>
          </cell>
          <cell r="BG8">
            <v>19778.132678824881</v>
          </cell>
          <cell r="BH8">
            <v>40121.777057536601</v>
          </cell>
          <cell r="BI8">
            <v>10793.65475110174</v>
          </cell>
          <cell r="BJ8">
            <v>417.79584530255096</v>
          </cell>
          <cell r="BK8">
            <v>14920.679994978529</v>
          </cell>
          <cell r="BL8">
            <v>35800.6232518295</v>
          </cell>
        </row>
        <row r="9">
          <cell r="D9">
            <v>90119.300708010793</v>
          </cell>
          <cell r="E9">
            <v>118599.417248237</v>
          </cell>
          <cell r="F9">
            <v>137000.52052639899</v>
          </cell>
          <cell r="G9">
            <v>86064.463340548798</v>
          </cell>
          <cell r="H9">
            <v>81677.219943028904</v>
          </cell>
          <cell r="I9">
            <v>107836.52795073899</v>
          </cell>
          <cell r="J9">
            <v>141424.68547156101</v>
          </cell>
          <cell r="K9">
            <v>90725.487033005702</v>
          </cell>
          <cell r="L9">
            <v>80592.882419071801</v>
          </cell>
          <cell r="M9">
            <v>118784.408151027</v>
          </cell>
          <cell r="N9">
            <v>152272.84840439202</v>
          </cell>
          <cell r="O9">
            <v>93281.848240601306</v>
          </cell>
          <cell r="P9">
            <v>91070.215923860698</v>
          </cell>
          <cell r="Q9">
            <v>136088.24827061701</v>
          </cell>
          <cell r="R9">
            <v>160254.85107119102</v>
          </cell>
          <cell r="S9">
            <v>94422.321204409702</v>
          </cell>
          <cell r="T9">
            <v>128675.702524554</v>
          </cell>
          <cell r="U9">
            <v>134838.453892789</v>
          </cell>
          <cell r="V9">
            <v>161966.91888010601</v>
          </cell>
          <cell r="W9">
            <v>81555.719129394696</v>
          </cell>
          <cell r="X9">
            <v>98980.810691476407</v>
          </cell>
          <cell r="Y9">
            <v>99235.531844457408</v>
          </cell>
          <cell r="Z9">
            <v>140607.045045331</v>
          </cell>
          <cell r="AD9">
            <v>0</v>
          </cell>
          <cell r="AH9">
            <v>0</v>
          </cell>
          <cell r="AL9">
            <v>0</v>
          </cell>
          <cell r="AP9">
            <v>0</v>
          </cell>
          <cell r="AT9">
            <v>0</v>
          </cell>
          <cell r="AX9">
            <v>0</v>
          </cell>
          <cell r="AZ9">
            <v>532756.20961190306</v>
          </cell>
          <cell r="BA9">
            <v>571116.13221000263</v>
          </cell>
          <cell r="BB9">
            <v>715382.58735786634</v>
          </cell>
          <cell r="BC9">
            <v>893526.86939898005</v>
          </cell>
          <cell r="BE9">
            <v>263496.32103749731</v>
          </cell>
          <cell r="BF9">
            <v>252389.4030701115</v>
          </cell>
          <cell r="BG9">
            <v>345220.35335000302</v>
          </cell>
          <cell r="BH9">
            <v>430698.05440235202</v>
          </cell>
          <cell r="BI9">
            <v>269259.88857440569</v>
          </cell>
          <cell r="BJ9">
            <v>318726.7291398911</v>
          </cell>
          <cell r="BK9">
            <v>370162.23400786344</v>
          </cell>
          <cell r="BL9">
            <v>462828.81499662803</v>
          </cell>
        </row>
        <row r="10">
          <cell r="D10">
            <v>24344.923972750734</v>
          </cell>
          <cell r="E10">
            <v>21442.088666347183</v>
          </cell>
          <cell r="F10">
            <v>-10859.43690730631</v>
          </cell>
          <cell r="G10">
            <v>28214.126103823131</v>
          </cell>
          <cell r="H10">
            <v>21528.258728078388</v>
          </cell>
          <cell r="I10">
            <v>21141.457283962456</v>
          </cell>
          <cell r="J10">
            <v>12389.236239751604</v>
          </cell>
          <cell r="K10">
            <v>36006.265986042155</v>
          </cell>
          <cell r="L10">
            <v>40360.941564134555</v>
          </cell>
          <cell r="M10">
            <v>28380.456515205555</v>
          </cell>
          <cell r="N10">
            <v>40564.129814548302</v>
          </cell>
          <cell r="O10">
            <v>26489.9208742052</v>
          </cell>
          <cell r="P10">
            <v>22450.440243012694</v>
          </cell>
          <cell r="Q10">
            <v>18166.606471677547</v>
          </cell>
          <cell r="R10">
            <v>14609.995054201761</v>
          </cell>
          <cell r="S10">
            <v>29867.052084542956</v>
          </cell>
          <cell r="T10">
            <v>89020.237776712325</v>
          </cell>
          <cell r="U10">
            <v>20050.206507905321</v>
          </cell>
          <cell r="V10">
            <v>19397.292360584135</v>
          </cell>
          <cell r="W10">
            <v>24663.713403876402</v>
          </cell>
          <cell r="X10">
            <v>18739.955970918061</v>
          </cell>
          <cell r="Y10">
            <v>24634.346091980377</v>
          </cell>
          <cell r="Z10">
            <v>15865.338254024013</v>
          </cell>
          <cell r="AD10">
            <v>0</v>
          </cell>
          <cell r="AH10">
            <v>0</v>
          </cell>
          <cell r="AL10">
            <v>0</v>
          </cell>
          <cell r="AP10">
            <v>0</v>
          </cell>
          <cell r="AT10">
            <v>0</v>
          </cell>
          <cell r="AX10">
            <v>0</v>
          </cell>
          <cell r="AZ10">
            <v>174810.79828371975</v>
          </cell>
          <cell r="BA10">
            <v>216444.75825560675</v>
          </cell>
          <cell r="BB10">
            <v>133815.16153707844</v>
          </cell>
          <cell r="BC10">
            <v>91966.554815803509</v>
          </cell>
          <cell r="BE10">
            <v>93790.111921095144</v>
          </cell>
          <cell r="BF10">
            <v>86234.12426496367</v>
          </cell>
          <cell r="BG10">
            <v>70964.002465515194</v>
          </cell>
          <cell r="BH10">
            <v>42093.9291469936</v>
          </cell>
          <cell r="BI10">
            <v>81020.686362624605</v>
          </cell>
          <cell r="BJ10">
            <v>130210.63399064311</v>
          </cell>
          <cell r="BK10">
            <v>62851.159071563241</v>
          </cell>
          <cell r="BL10">
            <v>49872.625668809909</v>
          </cell>
        </row>
        <row r="11">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13.288</v>
          </cell>
          <cell r="T11">
            <v>0</v>
          </cell>
          <cell r="U11">
            <v>0</v>
          </cell>
          <cell r="V11">
            <v>0</v>
          </cell>
          <cell r="W11">
            <v>269.65009999999995</v>
          </cell>
          <cell r="X11">
            <v>0</v>
          </cell>
          <cell r="Y11">
            <v>0</v>
          </cell>
          <cell r="Z11">
            <v>0</v>
          </cell>
          <cell r="AD11">
            <v>0</v>
          </cell>
          <cell r="AH11">
            <v>0</v>
          </cell>
          <cell r="AL11">
            <v>0</v>
          </cell>
          <cell r="AP11">
            <v>0</v>
          </cell>
          <cell r="AT11">
            <v>0</v>
          </cell>
          <cell r="AX11">
            <v>0</v>
          </cell>
          <cell r="AZ11">
            <v>282.93809999999996</v>
          </cell>
          <cell r="BA11">
            <v>0</v>
          </cell>
          <cell r="BB11">
            <v>0</v>
          </cell>
          <cell r="BC11">
            <v>0</v>
          </cell>
          <cell r="BE11">
            <v>0</v>
          </cell>
          <cell r="BF11">
            <v>0</v>
          </cell>
          <cell r="BG11">
            <v>0</v>
          </cell>
          <cell r="BH11">
            <v>0</v>
          </cell>
          <cell r="BI11">
            <v>282.93809999999996</v>
          </cell>
          <cell r="BJ11">
            <v>0</v>
          </cell>
          <cell r="BK11">
            <v>0</v>
          </cell>
          <cell r="BL11">
            <v>0</v>
          </cell>
        </row>
        <row r="12">
          <cell r="D12">
            <v>531.31688730282201</v>
          </cell>
          <cell r="E12">
            <v>1154.9854072543899</v>
          </cell>
          <cell r="F12">
            <v>796.66902358220204</v>
          </cell>
          <cell r="G12">
            <v>681.79055083681703</v>
          </cell>
          <cell r="H12">
            <v>861.09800077145394</v>
          </cell>
          <cell r="I12">
            <v>1301.44464111293</v>
          </cell>
          <cell r="J12">
            <v>929.89217810481603</v>
          </cell>
          <cell r="K12">
            <v>232.02647271210401</v>
          </cell>
          <cell r="L12">
            <v>373.736914231936</v>
          </cell>
          <cell r="M12">
            <v>1783.7870069508399</v>
          </cell>
          <cell r="N12">
            <v>948.94974155557702</v>
          </cell>
          <cell r="O12">
            <v>348.83213104236597</v>
          </cell>
          <cell r="P12">
            <v>1153.3252281349</v>
          </cell>
          <cell r="Q12">
            <v>1186.24020027096</v>
          </cell>
          <cell r="R12">
            <v>845.28414614534995</v>
          </cell>
          <cell r="S12">
            <v>428.56390269033903</v>
          </cell>
          <cell r="T12">
            <v>621.48158249867492</v>
          </cell>
          <cell r="U12">
            <v>1708.3203698659199</v>
          </cell>
          <cell r="V12">
            <v>719.72834805538207</v>
          </cell>
          <cell r="W12">
            <v>1216.1557051283999</v>
          </cell>
          <cell r="X12">
            <v>3082.6076028049301</v>
          </cell>
          <cell r="Y12">
            <v>3960.3307943360896</v>
          </cell>
          <cell r="Z12">
            <v>893.79208941517004</v>
          </cell>
          <cell r="AD12">
            <v>0</v>
          </cell>
          <cell r="AH12">
            <v>0</v>
          </cell>
          <cell r="AL12">
            <v>0</v>
          </cell>
          <cell r="AP12">
            <v>0</v>
          </cell>
          <cell r="AT12">
            <v>0</v>
          </cell>
          <cell r="AX12">
            <v>0</v>
          </cell>
          <cell r="AZ12">
            <v>4161.5427096694257</v>
          </cell>
          <cell r="BA12">
            <v>6623.5662157447168</v>
          </cell>
          <cell r="BB12">
            <v>11095.10841979113</v>
          </cell>
          <cell r="BC12">
            <v>5134.3155268584978</v>
          </cell>
          <cell r="BE12">
            <v>2167.990970808321</v>
          </cell>
          <cell r="BF12">
            <v>1766.1518023062119</v>
          </cell>
          <cell r="BG12">
            <v>4240.2170553181595</v>
          </cell>
          <cell r="BH12">
            <v>2675.5109432425952</v>
          </cell>
          <cell r="BI12">
            <v>1993.5517388611049</v>
          </cell>
          <cell r="BJ12">
            <v>4857.4144134385051</v>
          </cell>
          <cell r="BK12">
            <v>6854.8913644729691</v>
          </cell>
          <cell r="BL12">
            <v>2458.8045836159017</v>
          </cell>
        </row>
        <row r="13">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D13">
            <v>0</v>
          </cell>
          <cell r="AH13">
            <v>0</v>
          </cell>
          <cell r="AL13">
            <v>0</v>
          </cell>
          <cell r="AP13">
            <v>0</v>
          </cell>
          <cell r="AT13">
            <v>0</v>
          </cell>
          <cell r="AX13">
            <v>0</v>
          </cell>
          <cell r="AZ13">
            <v>0</v>
          </cell>
          <cell r="BA13">
            <v>0</v>
          </cell>
          <cell r="BB13">
            <v>0</v>
          </cell>
          <cell r="BC13">
            <v>0</v>
          </cell>
          <cell r="BE13">
            <v>0</v>
          </cell>
          <cell r="BF13">
            <v>0</v>
          </cell>
          <cell r="BG13">
            <v>0</v>
          </cell>
          <cell r="BH13">
            <v>0</v>
          </cell>
          <cell r="BI13">
            <v>0</v>
          </cell>
          <cell r="BJ13">
            <v>0</v>
          </cell>
          <cell r="BK13">
            <v>0</v>
          </cell>
          <cell r="BL13">
            <v>0</v>
          </cell>
        </row>
        <row r="14">
          <cell r="D14">
            <v>1185.82253213525</v>
          </cell>
          <cell r="E14">
            <v>10.680071309663401</v>
          </cell>
          <cell r="F14">
            <v>298.81846188244498</v>
          </cell>
          <cell r="G14">
            <v>849.67521210176403</v>
          </cell>
          <cell r="H14">
            <v>912.07143032044496</v>
          </cell>
          <cell r="I14">
            <v>62.864065422812203</v>
          </cell>
          <cell r="J14">
            <v>253.45330963986899</v>
          </cell>
          <cell r="K14">
            <v>1037.9232287350001</v>
          </cell>
          <cell r="L14">
            <v>788.42181641826699</v>
          </cell>
          <cell r="M14">
            <v>131.45803007795701</v>
          </cell>
          <cell r="N14">
            <v>585.18474232276594</v>
          </cell>
          <cell r="O14">
            <v>1030.12064710504</v>
          </cell>
          <cell r="P14">
            <v>14.2431642036747</v>
          </cell>
          <cell r="Q14">
            <v>69.482310320174108</v>
          </cell>
          <cell r="R14">
            <v>805.79212979384192</v>
          </cell>
          <cell r="S14">
            <v>1079.57427555861</v>
          </cell>
          <cell r="T14">
            <v>4.6300000000000701</v>
          </cell>
          <cell r="U14">
            <v>137.05286380243498</v>
          </cell>
          <cell r="V14">
            <v>737.64372756213902</v>
          </cell>
          <cell r="W14">
            <v>1002.58313564726</v>
          </cell>
          <cell r="X14">
            <v>20.857019999999498</v>
          </cell>
          <cell r="Y14">
            <v>65.860506735273589</v>
          </cell>
          <cell r="Z14">
            <v>499.036226541573</v>
          </cell>
          <cell r="AD14">
            <v>0</v>
          </cell>
          <cell r="AH14">
            <v>0</v>
          </cell>
          <cell r="AL14">
            <v>0</v>
          </cell>
          <cell r="AP14">
            <v>0</v>
          </cell>
          <cell r="AT14">
            <v>0</v>
          </cell>
          <cell r="AX14">
            <v>0</v>
          </cell>
          <cell r="AZ14">
            <v>5817.3233740464639</v>
          </cell>
          <cell r="BA14">
            <v>2926.0459630776363</v>
          </cell>
          <cell r="BB14">
            <v>477.39784766831531</v>
          </cell>
          <cell r="BC14">
            <v>3179.9285977426339</v>
          </cell>
          <cell r="BE14">
            <v>2705.0453157355541</v>
          </cell>
          <cell r="BF14">
            <v>2886.3157788739622</v>
          </cell>
          <cell r="BG14">
            <v>205.00216681043261</v>
          </cell>
          <cell r="BH14">
            <v>1137.4565138450798</v>
          </cell>
          <cell r="BI14">
            <v>3112.2780583109097</v>
          </cell>
          <cell r="BJ14">
            <v>39.73018420367427</v>
          </cell>
          <cell r="BK14">
            <v>272.39568085788267</v>
          </cell>
          <cell r="BL14">
            <v>2042.4720838975541</v>
          </cell>
        </row>
        <row r="15">
          <cell r="D15">
            <v>12322.944</v>
          </cell>
          <cell r="E15">
            <v>330.00000000000199</v>
          </cell>
          <cell r="F15">
            <v>2.44472175836563E-12</v>
          </cell>
          <cell r="G15">
            <v>4526.3280000000104</v>
          </cell>
          <cell r="H15">
            <v>2419.3540400000202</v>
          </cell>
          <cell r="I15">
            <v>330</v>
          </cell>
          <cell r="J15">
            <v>330.00000000000699</v>
          </cell>
          <cell r="K15">
            <v>12123.65</v>
          </cell>
          <cell r="L15">
            <v>9261.1463100000001</v>
          </cell>
          <cell r="M15">
            <v>1961.183</v>
          </cell>
          <cell r="N15">
            <v>329.99999999999903</v>
          </cell>
          <cell r="O15">
            <v>7656.6016900000004</v>
          </cell>
          <cell r="P15">
            <v>6142.4075000000003</v>
          </cell>
          <cell r="Q15">
            <v>330</v>
          </cell>
          <cell r="R15">
            <v>2839.5369999999998</v>
          </cell>
          <cell r="S15">
            <v>6182.7449999999899</v>
          </cell>
          <cell r="T15">
            <v>4379.99999999999</v>
          </cell>
          <cell r="U15">
            <v>329.99999999999801</v>
          </cell>
          <cell r="V15">
            <v>1820.76773</v>
          </cell>
          <cell r="W15">
            <v>7436.9632200000897</v>
          </cell>
          <cell r="X15">
            <v>4852.5080000000198</v>
          </cell>
          <cell r="Y15">
            <v>329.99999999999403</v>
          </cell>
          <cell r="Z15">
            <v>2054.6060000000002</v>
          </cell>
          <cell r="AD15">
            <v>0</v>
          </cell>
          <cell r="AH15">
            <v>0</v>
          </cell>
          <cell r="AL15">
            <v>0</v>
          </cell>
          <cell r="AP15">
            <v>0</v>
          </cell>
          <cell r="AT15">
            <v>0</v>
          </cell>
          <cell r="AX15">
            <v>0</v>
          </cell>
          <cell r="AZ15">
            <v>43444.71491000009</v>
          </cell>
          <cell r="BA15">
            <v>39378.359850000037</v>
          </cell>
          <cell r="BB15">
            <v>3611.1829999999941</v>
          </cell>
          <cell r="BC15">
            <v>7374.9107300000087</v>
          </cell>
          <cell r="BE15">
            <v>22168.40500000001</v>
          </cell>
          <cell r="BF15">
            <v>24003.44435000002</v>
          </cell>
          <cell r="BG15">
            <v>2621.1830000000018</v>
          </cell>
          <cell r="BH15">
            <v>660.00000000000841</v>
          </cell>
          <cell r="BI15">
            <v>21276.30991000008</v>
          </cell>
          <cell r="BJ15">
            <v>15374.91550000001</v>
          </cell>
          <cell r="BK15">
            <v>989.99999999999204</v>
          </cell>
          <cell r="BL15">
            <v>6714.9107299999996</v>
          </cell>
        </row>
        <row r="16">
          <cell r="D16">
            <v>0</v>
          </cell>
          <cell r="E16">
            <v>0</v>
          </cell>
          <cell r="F16">
            <v>0</v>
          </cell>
          <cell r="G16">
            <v>6533.4297368785901</v>
          </cell>
          <cell r="H16">
            <v>0</v>
          </cell>
          <cell r="I16">
            <v>0</v>
          </cell>
          <cell r="J16">
            <v>0</v>
          </cell>
          <cell r="K16">
            <v>7697.3504324057994</v>
          </cell>
          <cell r="L16">
            <v>0</v>
          </cell>
          <cell r="M16">
            <v>0</v>
          </cell>
          <cell r="N16">
            <v>0</v>
          </cell>
          <cell r="O16">
            <v>6832.44587054164</v>
          </cell>
          <cell r="P16">
            <v>0</v>
          </cell>
          <cell r="Q16">
            <v>0</v>
          </cell>
          <cell r="R16">
            <v>0</v>
          </cell>
          <cell r="S16">
            <v>7187.8845017440499</v>
          </cell>
          <cell r="T16">
            <v>0</v>
          </cell>
          <cell r="U16">
            <v>0</v>
          </cell>
          <cell r="V16">
            <v>0</v>
          </cell>
          <cell r="W16">
            <v>0</v>
          </cell>
          <cell r="X16">
            <v>0</v>
          </cell>
          <cell r="Y16">
            <v>0</v>
          </cell>
          <cell r="Z16">
            <v>0</v>
          </cell>
          <cell r="AD16">
            <v>0</v>
          </cell>
          <cell r="AH16">
            <v>0</v>
          </cell>
          <cell r="AL16">
            <v>0</v>
          </cell>
          <cell r="AP16">
            <v>0</v>
          </cell>
          <cell r="AT16">
            <v>0</v>
          </cell>
          <cell r="AX16">
            <v>0</v>
          </cell>
          <cell r="AZ16">
            <v>36172.615266988207</v>
          </cell>
          <cell r="BA16">
            <v>0</v>
          </cell>
          <cell r="BB16">
            <v>0</v>
          </cell>
          <cell r="BC16">
            <v>0</v>
          </cell>
          <cell r="BE16">
            <v>22152.28489470252</v>
          </cell>
          <cell r="BF16">
            <v>0</v>
          </cell>
          <cell r="BG16">
            <v>0</v>
          </cell>
          <cell r="BH16">
            <v>0</v>
          </cell>
          <cell r="BI16">
            <v>14020.330372285691</v>
          </cell>
          <cell r="BJ16">
            <v>0</v>
          </cell>
          <cell r="BK16">
            <v>0</v>
          </cell>
          <cell r="BL16">
            <v>0</v>
          </cell>
        </row>
        <row r="17">
          <cell r="D17">
            <v>1873.2267596931099</v>
          </cell>
          <cell r="E17">
            <v>1824.1696500361302</v>
          </cell>
          <cell r="F17">
            <v>1703.13380468882</v>
          </cell>
          <cell r="G17">
            <v>1979.8079754342</v>
          </cell>
          <cell r="H17">
            <v>1949.8933157663498</v>
          </cell>
          <cell r="I17">
            <v>1584.59162817739</v>
          </cell>
          <cell r="J17">
            <v>1977.9143082089101</v>
          </cell>
          <cell r="K17">
            <v>2315.4300504463699</v>
          </cell>
          <cell r="L17">
            <v>1793.4615765952601</v>
          </cell>
          <cell r="M17">
            <v>2932.69081446685</v>
          </cell>
          <cell r="N17">
            <v>2226.6484454688098</v>
          </cell>
          <cell r="O17">
            <v>2460.2722569580301</v>
          </cell>
          <cell r="P17">
            <v>1622.7613060738599</v>
          </cell>
          <cell r="Q17">
            <v>1845.66698251193</v>
          </cell>
          <cell r="R17">
            <v>1904.5273006744799</v>
          </cell>
          <cell r="S17">
            <v>2190.9179713866597</v>
          </cell>
          <cell r="T17">
            <v>1654.6021392344298</v>
          </cell>
          <cell r="U17">
            <v>2044.7312204295799</v>
          </cell>
          <cell r="V17">
            <v>6022.8959344733094</v>
          </cell>
          <cell r="W17">
            <v>1872.98933294264</v>
          </cell>
          <cell r="X17">
            <v>1982.5920548811498</v>
          </cell>
          <cell r="Y17">
            <v>2247.0140039255698</v>
          </cell>
          <cell r="Z17">
            <v>1748.8469716899899</v>
          </cell>
          <cell r="AD17">
            <v>0</v>
          </cell>
          <cell r="AH17">
            <v>0</v>
          </cell>
          <cell r="AL17">
            <v>0</v>
          </cell>
          <cell r="AP17">
            <v>0</v>
          </cell>
          <cell r="AT17">
            <v>0</v>
          </cell>
          <cell r="AX17">
            <v>0</v>
          </cell>
          <cell r="AZ17">
            <v>13670.515611034749</v>
          </cell>
          <cell r="BA17">
            <v>10876.53715224416</v>
          </cell>
          <cell r="BB17">
            <v>12478.864299547449</v>
          </cell>
          <cell r="BC17">
            <v>15583.966765204317</v>
          </cell>
          <cell r="BE17">
            <v>7146.3360497474196</v>
          </cell>
          <cell r="BF17">
            <v>5616.5816520547196</v>
          </cell>
          <cell r="BG17">
            <v>6341.4520926803707</v>
          </cell>
          <cell r="BH17">
            <v>5907.6965583665396</v>
          </cell>
          <cell r="BI17">
            <v>6524.1795612873302</v>
          </cell>
          <cell r="BJ17">
            <v>5259.9555001894396</v>
          </cell>
          <cell r="BK17">
            <v>6137.4122068670804</v>
          </cell>
          <cell r="BL17">
            <v>9676.2702068377803</v>
          </cell>
        </row>
        <row r="18">
          <cell r="D18">
            <v>7433.95862505897</v>
          </cell>
          <cell r="E18">
            <v>484.86185587578302</v>
          </cell>
          <cell r="F18">
            <v>2291.0536694469401</v>
          </cell>
          <cell r="G18">
            <v>11823.049092656</v>
          </cell>
          <cell r="H18">
            <v>8716.4118189500787</v>
          </cell>
          <cell r="I18">
            <v>164.434356882347</v>
          </cell>
          <cell r="J18">
            <v>1873.5713518075502</v>
          </cell>
          <cell r="K18">
            <v>7453.5193241663692</v>
          </cell>
          <cell r="L18">
            <v>3303.0158847502103</v>
          </cell>
          <cell r="M18">
            <v>341.80431320717901</v>
          </cell>
          <cell r="N18">
            <v>1480.9826908237301</v>
          </cell>
          <cell r="O18">
            <v>6920.9761811524304</v>
          </cell>
          <cell r="P18">
            <v>399.80867172420102</v>
          </cell>
          <cell r="Q18">
            <v>264.49071276282598</v>
          </cell>
          <cell r="R18">
            <v>1238.29431248315</v>
          </cell>
          <cell r="S18">
            <v>9325.9184478578791</v>
          </cell>
          <cell r="T18">
            <v>-1119.93901824664</v>
          </cell>
          <cell r="U18">
            <v>120.931346890917</v>
          </cell>
          <cell r="V18">
            <v>7900.4150185999006</v>
          </cell>
          <cell r="W18">
            <v>6937.6598417259693</v>
          </cell>
          <cell r="X18">
            <v>1248.5176766227801</v>
          </cell>
          <cell r="Y18">
            <v>346.19692962811996</v>
          </cell>
          <cell r="Z18">
            <v>7067.7506153206796</v>
          </cell>
          <cell r="AD18">
            <v>0</v>
          </cell>
          <cell r="AH18">
            <v>0</v>
          </cell>
          <cell r="AL18">
            <v>0</v>
          </cell>
          <cell r="AP18">
            <v>0</v>
          </cell>
          <cell r="AT18">
            <v>0</v>
          </cell>
          <cell r="AX18">
            <v>0</v>
          </cell>
          <cell r="AZ18">
            <v>52123.455181754311</v>
          </cell>
          <cell r="BA18">
            <v>19981.773658859598</v>
          </cell>
          <cell r="BB18">
            <v>1722.719515247172</v>
          </cell>
          <cell r="BC18">
            <v>21852.067658481952</v>
          </cell>
          <cell r="BE18">
            <v>28938.900711018028</v>
          </cell>
          <cell r="BF18">
            <v>19453.386328759258</v>
          </cell>
          <cell r="BG18">
            <v>991.10052596530898</v>
          </cell>
          <cell r="BH18">
            <v>5645.6077120782202</v>
          </cell>
          <cell r="BI18">
            <v>23184.554470736279</v>
          </cell>
          <cell r="BJ18">
            <v>528.38733010034116</v>
          </cell>
          <cell r="BK18">
            <v>731.61898928186292</v>
          </cell>
          <cell r="BL18">
            <v>16206.459946403729</v>
          </cell>
        </row>
        <row r="19">
          <cell r="D19">
            <v>997.65516856058014</v>
          </cell>
          <cell r="E19">
            <v>17637.391681871213</v>
          </cell>
          <cell r="F19">
            <v>-15949.11186690672</v>
          </cell>
          <cell r="G19">
            <v>1820.0455359157502</v>
          </cell>
          <cell r="H19">
            <v>6669.4301222700406</v>
          </cell>
          <cell r="I19">
            <v>17698.122592366977</v>
          </cell>
          <cell r="J19">
            <v>7024.405091990453</v>
          </cell>
          <cell r="K19">
            <v>5146.3664775765201</v>
          </cell>
          <cell r="L19">
            <v>24841.159062138879</v>
          </cell>
          <cell r="M19">
            <v>21229.53335050273</v>
          </cell>
          <cell r="N19">
            <v>34992.36419437742</v>
          </cell>
          <cell r="O19">
            <v>1240.6720974057</v>
          </cell>
          <cell r="P19">
            <v>13117.894372876059</v>
          </cell>
          <cell r="Q19">
            <v>14470.726265811658</v>
          </cell>
          <cell r="R19">
            <v>6976.5601651049392</v>
          </cell>
          <cell r="S19">
            <v>3458.1599853054299</v>
          </cell>
          <cell r="T19">
            <v>83479.463073225896</v>
          </cell>
          <cell r="U19">
            <v>15709.170706916473</v>
          </cell>
          <cell r="V19">
            <v>2195.8416018934049</v>
          </cell>
          <cell r="W19">
            <v>5927.7120684320898</v>
          </cell>
          <cell r="X19">
            <v>7552.8736166091803</v>
          </cell>
          <cell r="Y19">
            <v>17684.943857355331</v>
          </cell>
          <cell r="Z19">
            <v>3601.3063510565999</v>
          </cell>
          <cell r="AD19">
            <v>0</v>
          </cell>
          <cell r="AH19">
            <v>0</v>
          </cell>
          <cell r="AL19">
            <v>0</v>
          </cell>
          <cell r="AP19">
            <v>0</v>
          </cell>
          <cell r="AT19">
            <v>0</v>
          </cell>
          <cell r="AX19">
            <v>0</v>
          </cell>
          <cell r="AZ19">
            <v>19137.6931302265</v>
          </cell>
          <cell r="BA19">
            <v>136658.47541568062</v>
          </cell>
          <cell r="BB19">
            <v>104429.88845482438</v>
          </cell>
          <cell r="BC19">
            <v>38841.365537516096</v>
          </cell>
          <cell r="BE19">
            <v>8511.1489790832802</v>
          </cell>
          <cell r="BF19">
            <v>32508.244352969501</v>
          </cell>
          <cell r="BG19">
            <v>56565.047624740917</v>
          </cell>
          <cell r="BH19">
            <v>26067.657419461153</v>
          </cell>
          <cell r="BI19">
            <v>10626.54415114322</v>
          </cell>
          <cell r="BJ19">
            <v>104150.23106271114</v>
          </cell>
          <cell r="BK19">
            <v>47864.840830083456</v>
          </cell>
          <cell r="BL19">
            <v>12773.708118054943</v>
          </cell>
        </row>
        <row r="20">
          <cell r="AZ20">
            <v>0</v>
          </cell>
          <cell r="BA20">
            <v>0</v>
          </cell>
          <cell r="BB20">
            <v>0</v>
          </cell>
          <cell r="BC20">
            <v>0</v>
          </cell>
          <cell r="BE20">
            <v>0</v>
          </cell>
          <cell r="BF20">
            <v>0</v>
          </cell>
          <cell r="BG20">
            <v>0</v>
          </cell>
          <cell r="BH20">
            <v>0</v>
          </cell>
          <cell r="BI20">
            <v>0</v>
          </cell>
          <cell r="BJ20">
            <v>0</v>
          </cell>
          <cell r="BK20">
            <v>0</v>
          </cell>
          <cell r="BL20">
            <v>0</v>
          </cell>
        </row>
        <row r="22">
          <cell r="D22">
            <v>-170570.01271089472</v>
          </cell>
          <cell r="E22">
            <v>-82298.586847869534</v>
          </cell>
          <cell r="F22">
            <v>-90995.194384810791</v>
          </cell>
          <cell r="G22">
            <v>-161127.58038023373</v>
          </cell>
          <cell r="H22">
            <v>-124318.60354165141</v>
          </cell>
          <cell r="I22">
            <v>-77967.029290604725</v>
          </cell>
          <cell r="J22">
            <v>-96040.661220252281</v>
          </cell>
          <cell r="K22">
            <v>-141632.83947216035</v>
          </cell>
          <cell r="L22">
            <v>-111226.70954132902</v>
          </cell>
          <cell r="M22">
            <v>-74043.207147680747</v>
          </cell>
          <cell r="N22">
            <v>-97217.025309619421</v>
          </cell>
          <cell r="O22">
            <v>-144746.85035049854</v>
          </cell>
          <cell r="P22">
            <v>-59916.945828982054</v>
          </cell>
          <cell r="Q22">
            <v>-77754.685260396203</v>
          </cell>
          <cell r="R22">
            <v>-98823.447212823201</v>
          </cell>
          <cell r="S22">
            <v>-142629.76701179869</v>
          </cell>
          <cell r="T22">
            <v>-95823.736836728785</v>
          </cell>
          <cell r="U22">
            <v>-77233.223731321355</v>
          </cell>
          <cell r="V22">
            <v>-100889.81084324734</v>
          </cell>
          <cell r="W22">
            <v>-144864.26978929082</v>
          </cell>
          <cell r="X22">
            <v>-18310.509616752734</v>
          </cell>
          <cell r="Y22">
            <v>-77154.078330772856</v>
          </cell>
          <cell r="Z22">
            <v>-89920.089458035567</v>
          </cell>
          <cell r="AD22">
            <v>0</v>
          </cell>
          <cell r="AH22">
            <v>0</v>
          </cell>
          <cell r="AL22">
            <v>0</v>
          </cell>
          <cell r="AP22">
            <v>0</v>
          </cell>
          <cell r="AT22">
            <v>0</v>
          </cell>
          <cell r="AX22">
            <v>0</v>
          </cell>
          <cell r="AZ22">
            <v>-908252.41676426039</v>
          </cell>
          <cell r="BA22">
            <v>-580166.51807633869</v>
          </cell>
          <cell r="BB22">
            <v>-466450.81060864549</v>
          </cell>
          <cell r="BC22">
            <v>-573886.2284287886</v>
          </cell>
          <cell r="BE22">
            <v>-476011.52961267234</v>
          </cell>
          <cell r="BF22">
            <v>-406115.32579387509</v>
          </cell>
          <cell r="BG22">
            <v>-234308.82328615501</v>
          </cell>
          <cell r="BH22">
            <v>-284252.88091468246</v>
          </cell>
          <cell r="BI22">
            <v>-432240.88715158805</v>
          </cell>
          <cell r="BJ22">
            <v>-174051.1922824636</v>
          </cell>
          <cell r="BK22">
            <v>-232141.9873224904</v>
          </cell>
          <cell r="BL22">
            <v>-289633.34751410614</v>
          </cell>
        </row>
        <row r="23">
          <cell r="D23">
            <v>-69999.690850320505</v>
          </cell>
          <cell r="E23">
            <v>-29298.482995371003</v>
          </cell>
          <cell r="F23">
            <v>-36246.941084111801</v>
          </cell>
          <cell r="G23">
            <v>-59517.512468782501</v>
          </cell>
          <cell r="H23">
            <v>-43703.806945860197</v>
          </cell>
          <cell r="I23">
            <v>-27665.958442141113</v>
          </cell>
          <cell r="J23">
            <v>-37057.52680341118</v>
          </cell>
          <cell r="K23">
            <v>-54589.227227032097</v>
          </cell>
          <cell r="L23">
            <v>-42793.767448423801</v>
          </cell>
          <cell r="M23">
            <v>-22829.037323627399</v>
          </cell>
          <cell r="N23">
            <v>-35762.374556313764</v>
          </cell>
          <cell r="O23">
            <v>-53399.999934883599</v>
          </cell>
          <cell r="P23">
            <v>-23330.859463168639</v>
          </cell>
          <cell r="Q23">
            <v>-28345.267767141788</v>
          </cell>
          <cell r="R23">
            <v>-36897.278162389666</v>
          </cell>
          <cell r="S23">
            <v>-54518.534030195202</v>
          </cell>
          <cell r="T23">
            <v>-26415.872685009002</v>
          </cell>
          <cell r="U23">
            <v>-26833.003320175219</v>
          </cell>
          <cell r="V23">
            <v>-37116.886496862709</v>
          </cell>
          <cell r="W23">
            <v>-54191.215649791404</v>
          </cell>
          <cell r="X23">
            <v>-13782.981532147225</v>
          </cell>
          <cell r="Y23">
            <v>-26599.26391169801</v>
          </cell>
          <cell r="Z23">
            <v>-35645.17246942495</v>
          </cell>
          <cell r="AD23">
            <v>0</v>
          </cell>
          <cell r="AH23">
            <v>0</v>
          </cell>
          <cell r="AL23">
            <v>0</v>
          </cell>
          <cell r="AP23">
            <v>0</v>
          </cell>
          <cell r="AT23">
            <v>0</v>
          </cell>
          <cell r="AX23">
            <v>0</v>
          </cell>
          <cell r="AZ23">
            <v>-340589.58332171035</v>
          </cell>
          <cell r="BA23">
            <v>-220026.97892492934</v>
          </cell>
          <cell r="BB23">
            <v>-161571.01376015454</v>
          </cell>
          <cell r="BC23">
            <v>-218726.17957251408</v>
          </cell>
          <cell r="BE23">
            <v>-178479.83370684012</v>
          </cell>
          <cell r="BF23">
            <v>-156497.2652446045</v>
          </cell>
          <cell r="BG23">
            <v>-79793.478761139515</v>
          </cell>
          <cell r="BH23">
            <v>-109066.84244383674</v>
          </cell>
          <cell r="BI23">
            <v>-162109.7496148702</v>
          </cell>
          <cell r="BJ23">
            <v>-63529.713680324872</v>
          </cell>
          <cell r="BK23">
            <v>-81777.534999015013</v>
          </cell>
          <cell r="BL23">
            <v>-109659.33712867732</v>
          </cell>
        </row>
        <row r="24">
          <cell r="D24">
            <v>-15991.32558726836</v>
          </cell>
          <cell r="E24">
            <v>-6548.2130171996696</v>
          </cell>
          <cell r="F24">
            <v>-10105.874549508508</v>
          </cell>
          <cell r="G24">
            <v>-17235.564539540828</v>
          </cell>
          <cell r="H24">
            <v>-13758.548454854541</v>
          </cell>
          <cell r="I24">
            <v>-5468.0742988287302</v>
          </cell>
          <cell r="J24">
            <v>-8286.4993800723605</v>
          </cell>
          <cell r="K24">
            <v>-13998.85527338372</v>
          </cell>
          <cell r="L24">
            <v>-14014.644438043691</v>
          </cell>
          <cell r="M24">
            <v>-4072.8484808617</v>
          </cell>
          <cell r="N24">
            <v>-9594.3858008900606</v>
          </cell>
          <cell r="O24">
            <v>-14298.07605634388</v>
          </cell>
          <cell r="P24">
            <v>1838.092664365543</v>
          </cell>
          <cell r="Q24">
            <v>-3310.19151073173</v>
          </cell>
          <cell r="R24">
            <v>-8722.7511363717913</v>
          </cell>
          <cell r="S24">
            <v>-15238.57162282054</v>
          </cell>
          <cell r="T24">
            <v>-2020.9062893215851</v>
          </cell>
          <cell r="U24">
            <v>-4940.6460068554197</v>
          </cell>
          <cell r="V24">
            <v>-10193.49957211909</v>
          </cell>
          <cell r="W24">
            <v>-14739.832358409631</v>
          </cell>
          <cell r="X24">
            <v>-3405.1197727385702</v>
          </cell>
          <cell r="Y24">
            <v>-6561.6262199876901</v>
          </cell>
          <cell r="Z24">
            <v>-8902.16090590364</v>
          </cell>
          <cell r="AD24">
            <v>0</v>
          </cell>
          <cell r="AH24">
            <v>0</v>
          </cell>
          <cell r="AL24">
            <v>0</v>
          </cell>
          <cell r="AP24">
            <v>0</v>
          </cell>
          <cell r="AT24">
            <v>0</v>
          </cell>
          <cell r="AX24">
            <v>0</v>
          </cell>
          <cell r="AZ24">
            <v>-95716.12643050871</v>
          </cell>
          <cell r="BA24">
            <v>-47352.451877861211</v>
          </cell>
          <cell r="BB24">
            <v>-30901.599534464938</v>
          </cell>
          <cell r="BC24">
            <v>-55805.171344865448</v>
          </cell>
          <cell r="BE24">
            <v>-51439.64639293465</v>
          </cell>
          <cell r="BF24">
            <v>-43764.518480166589</v>
          </cell>
          <cell r="BG24">
            <v>-16089.135796890099</v>
          </cell>
          <cell r="BH24">
            <v>-27986.759730470931</v>
          </cell>
          <cell r="BI24">
            <v>-44276.480037574052</v>
          </cell>
          <cell r="BJ24">
            <v>-3587.9333976946123</v>
          </cell>
          <cell r="BK24">
            <v>-14812.463737574839</v>
          </cell>
          <cell r="BL24">
            <v>-27818.411614394521</v>
          </cell>
        </row>
        <row r="25">
          <cell r="D25">
            <v>-1950.02062437828</v>
          </cell>
          <cell r="E25">
            <v>-777.49823091099904</v>
          </cell>
          <cell r="F25">
            <v>-721.53449643475199</v>
          </cell>
          <cell r="G25">
            <v>-1848.71870785293</v>
          </cell>
          <cell r="H25">
            <v>-1403.74169650668</v>
          </cell>
          <cell r="I25">
            <v>-735.75694525782501</v>
          </cell>
          <cell r="J25">
            <v>-885.28970097463105</v>
          </cell>
          <cell r="K25">
            <v>-1874.9923501677799</v>
          </cell>
          <cell r="L25">
            <v>-1207.92767081432</v>
          </cell>
          <cell r="M25">
            <v>-744.82269231023702</v>
          </cell>
          <cell r="N25">
            <v>-739.39893164152602</v>
          </cell>
          <cell r="O25">
            <v>-1803.2063442247099</v>
          </cell>
          <cell r="P25">
            <v>-1007.57624892205</v>
          </cell>
          <cell r="Q25">
            <v>-789.10122691854406</v>
          </cell>
          <cell r="R25">
            <v>-817.63152158879893</v>
          </cell>
          <cell r="S25">
            <v>-1606.5138938861301</v>
          </cell>
          <cell r="T25">
            <v>-2749.6900376679901</v>
          </cell>
          <cell r="U25">
            <v>-775.95925481337906</v>
          </cell>
          <cell r="V25">
            <v>-966.21451250520693</v>
          </cell>
          <cell r="W25">
            <v>-1853.9408406263799</v>
          </cell>
          <cell r="X25">
            <v>1028.0714229574899</v>
          </cell>
          <cell r="Y25">
            <v>-682.46987136065104</v>
          </cell>
          <cell r="Z25">
            <v>-809.76511571086496</v>
          </cell>
          <cell r="AD25">
            <v>0</v>
          </cell>
          <cell r="AH25">
            <v>0</v>
          </cell>
          <cell r="AL25">
            <v>0</v>
          </cell>
          <cell r="AP25">
            <v>0</v>
          </cell>
          <cell r="AT25">
            <v>0</v>
          </cell>
          <cell r="AX25">
            <v>0</v>
          </cell>
          <cell r="AZ25">
            <v>-10687.313163211669</v>
          </cell>
          <cell r="BA25">
            <v>-7290.8848553318294</v>
          </cell>
          <cell r="BB25">
            <v>-4505.6082215716351</v>
          </cell>
          <cell r="BC25">
            <v>-4939.8342788557793</v>
          </cell>
          <cell r="BE25">
            <v>-5423.65208447445</v>
          </cell>
          <cell r="BF25">
            <v>-4561.6899916992797</v>
          </cell>
          <cell r="BG25">
            <v>-2258.0778684790612</v>
          </cell>
          <cell r="BH25">
            <v>-2346.2231290509089</v>
          </cell>
          <cell r="BI25">
            <v>-5263.6610787372201</v>
          </cell>
          <cell r="BJ25">
            <v>-2729.1948636325506</v>
          </cell>
          <cell r="BK25">
            <v>-2247.5303530925739</v>
          </cell>
          <cell r="BL25">
            <v>-2593.6111498048708</v>
          </cell>
        </row>
        <row r="26">
          <cell r="D26">
            <v>-23180.094927312399</v>
          </cell>
          <cell r="E26">
            <v>-12791.7074763074</v>
          </cell>
          <cell r="F26">
            <v>-12460.807185751401</v>
          </cell>
          <cell r="G26">
            <v>-20295.036764837001</v>
          </cell>
          <cell r="H26">
            <v>-18287.927936251202</v>
          </cell>
          <cell r="I26">
            <v>-11643.9760348368</v>
          </cell>
          <cell r="J26">
            <v>-15199.3561237418</v>
          </cell>
          <cell r="K26">
            <v>-22730.9242521993</v>
          </cell>
          <cell r="L26">
            <v>-13469.817098957799</v>
          </cell>
          <cell r="M26">
            <v>-12440.339350030801</v>
          </cell>
          <cell r="N26">
            <v>-12706.9821632108</v>
          </cell>
          <cell r="O26">
            <v>-20320.083394460002</v>
          </cell>
          <cell r="P26">
            <v>-9151.5509403373599</v>
          </cell>
          <cell r="Q26">
            <v>-11779.845851046801</v>
          </cell>
          <cell r="R26">
            <v>-14538.908105169001</v>
          </cell>
          <cell r="S26">
            <v>-19779.8064656471</v>
          </cell>
          <cell r="T26">
            <v>-14246.365839767401</v>
          </cell>
          <cell r="U26">
            <v>-11759.286064428401</v>
          </cell>
          <cell r="V26">
            <v>-14315.5377105642</v>
          </cell>
          <cell r="W26">
            <v>-21410.353718578699</v>
          </cell>
          <cell r="X26">
            <v>-4594.8814005171707</v>
          </cell>
          <cell r="Y26">
            <v>-11753.854116946501</v>
          </cell>
          <cell r="Z26">
            <v>-9803.1866597249191</v>
          </cell>
          <cell r="AD26">
            <v>0</v>
          </cell>
          <cell r="AH26">
            <v>0</v>
          </cell>
          <cell r="AL26">
            <v>0</v>
          </cell>
          <cell r="AP26">
            <v>0</v>
          </cell>
          <cell r="AT26">
            <v>0</v>
          </cell>
          <cell r="AX26">
            <v>0</v>
          </cell>
          <cell r="AZ26">
            <v>-124714.2536206278</v>
          </cell>
          <cell r="BA26">
            <v>-82930.63814314334</v>
          </cell>
          <cell r="BB26">
            <v>-72169.008893596692</v>
          </cell>
          <cell r="BC26">
            <v>-79024.777948162111</v>
          </cell>
          <cell r="BE26">
            <v>-63204.010041942005</v>
          </cell>
          <cell r="BF26">
            <v>-54937.839962521401</v>
          </cell>
          <cell r="BG26">
            <v>-36876.022861174999</v>
          </cell>
          <cell r="BH26">
            <v>-40367.145472703996</v>
          </cell>
          <cell r="BI26">
            <v>-61510.243578685797</v>
          </cell>
          <cell r="BJ26">
            <v>-27992.798180621929</v>
          </cell>
          <cell r="BK26">
            <v>-35292.986032421701</v>
          </cell>
          <cell r="BL26">
            <v>-38657.632475458122</v>
          </cell>
        </row>
        <row r="27">
          <cell r="D27">
            <v>-31899.842882930301</v>
          </cell>
          <cell r="E27">
            <v>-16752.859344727</v>
          </cell>
          <cell r="F27">
            <v>-16290.50426297</v>
          </cell>
          <cell r="G27">
            <v>-31568.228113548899</v>
          </cell>
          <cell r="H27">
            <v>-27125.454460079</v>
          </cell>
          <cell r="I27">
            <v>-16609.0179021617</v>
          </cell>
          <cell r="J27">
            <v>-18777.600519952601</v>
          </cell>
          <cell r="K27">
            <v>-33637.9944542058</v>
          </cell>
          <cell r="L27">
            <v>-23833.793951978099</v>
          </cell>
          <cell r="M27">
            <v>-16864.776642110097</v>
          </cell>
          <cell r="N27">
            <v>-18965.745033239902</v>
          </cell>
          <cell r="O27">
            <v>-30616.630731902802</v>
          </cell>
          <cell r="P27">
            <v>-16142.993946050299</v>
          </cell>
          <cell r="Q27">
            <v>-17161.8947702367</v>
          </cell>
          <cell r="R27">
            <v>-19893.286586504499</v>
          </cell>
          <cell r="S27">
            <v>-30254.891752735202</v>
          </cell>
          <cell r="T27">
            <v>-22032.669440457197</v>
          </cell>
          <cell r="U27">
            <v>-15257.6083137799</v>
          </cell>
          <cell r="V27">
            <v>-20104.450521010498</v>
          </cell>
          <cell r="W27">
            <v>-28664.723269332699</v>
          </cell>
          <cell r="X27">
            <v>-11007.011025134199</v>
          </cell>
          <cell r="Y27">
            <v>-15911.017055681699</v>
          </cell>
          <cell r="Z27">
            <v>-18086.690219246997</v>
          </cell>
          <cell r="AD27">
            <v>0</v>
          </cell>
          <cell r="AH27">
            <v>0</v>
          </cell>
          <cell r="AL27">
            <v>0</v>
          </cell>
          <cell r="AP27">
            <v>0</v>
          </cell>
          <cell r="AT27">
            <v>0</v>
          </cell>
          <cell r="AX27">
            <v>0</v>
          </cell>
          <cell r="AZ27">
            <v>-186321.93244448779</v>
          </cell>
          <cell r="BA27">
            <v>-132041.76570662908</v>
          </cell>
          <cell r="BB27">
            <v>-98557.174028697103</v>
          </cell>
          <cell r="BC27">
            <v>-112118.2771429245</v>
          </cell>
          <cell r="BE27">
            <v>-96785.68669051709</v>
          </cell>
          <cell r="BF27">
            <v>-82859.091294987389</v>
          </cell>
          <cell r="BG27">
            <v>-50226.653888998801</v>
          </cell>
          <cell r="BH27">
            <v>-54033.849816162503</v>
          </cell>
          <cell r="BI27">
            <v>-89536.245753970696</v>
          </cell>
          <cell r="BJ27">
            <v>-49182.674411641696</v>
          </cell>
          <cell r="BK27">
            <v>-48330.520139698303</v>
          </cell>
          <cell r="BL27">
            <v>-58084.427326762001</v>
          </cell>
        </row>
        <row r="28">
          <cell r="D28">
            <v>-25898.84225344571</v>
          </cell>
          <cell r="E28">
            <v>-15393.351425257226</v>
          </cell>
          <cell r="F28">
            <v>-14398.669713578694</v>
          </cell>
          <cell r="G28">
            <v>-29778.898585936728</v>
          </cell>
          <cell r="H28">
            <v>-19205.156186050714</v>
          </cell>
          <cell r="I28">
            <v>-14597.25340450464</v>
          </cell>
          <cell r="J28">
            <v>-14944.700451789995</v>
          </cell>
          <cell r="K28">
            <v>-13626.219159494172</v>
          </cell>
          <cell r="L28">
            <v>-11409.88245132778</v>
          </cell>
          <cell r="M28">
            <v>-16344.74815067037</v>
          </cell>
          <cell r="N28">
            <v>-17640.95156536475</v>
          </cell>
          <cell r="O28">
            <v>-22502.925079125187</v>
          </cell>
          <cell r="P28">
            <v>-11205.276114588738</v>
          </cell>
          <cell r="Q28">
            <v>-15402.82613571882</v>
          </cell>
          <cell r="R28">
            <v>-17239.162953032115</v>
          </cell>
          <cell r="S28">
            <v>-20029.968284862596</v>
          </cell>
          <cell r="T28">
            <v>-26104.313288467376</v>
          </cell>
          <cell r="U28">
            <v>-16893.580788728406</v>
          </cell>
          <cell r="V28">
            <v>-17450.635223307305</v>
          </cell>
          <cell r="W28">
            <v>-21788.069443697368</v>
          </cell>
          <cell r="X28">
            <v>13739.40129900067</v>
          </cell>
          <cell r="Y28">
            <v>-14723.305628104608</v>
          </cell>
          <cell r="Z28">
            <v>-15964.185703348949</v>
          </cell>
          <cell r="AD28">
            <v>0</v>
          </cell>
          <cell r="AH28">
            <v>0</v>
          </cell>
          <cell r="AL28">
            <v>0</v>
          </cell>
          <cell r="AP28">
            <v>0</v>
          </cell>
          <cell r="AT28">
            <v>0</v>
          </cell>
          <cell r="AX28">
            <v>0</v>
          </cell>
          <cell r="AZ28">
            <v>-138706.05282315344</v>
          </cell>
          <cell r="BA28">
            <v>-80084.06899487965</v>
          </cell>
          <cell r="BB28">
            <v>-93355.065532984067</v>
          </cell>
          <cell r="BC28">
            <v>-97638.305610421812</v>
          </cell>
          <cell r="BE28">
            <v>-74385.090015468289</v>
          </cell>
          <cell r="BF28">
            <v>-56513.880890824206</v>
          </cell>
          <cell r="BG28">
            <v>-46335.352980432232</v>
          </cell>
          <cell r="BH28">
            <v>-46984.321730733442</v>
          </cell>
          <cell r="BI28">
            <v>-64320.962807685151</v>
          </cell>
          <cell r="BJ28">
            <v>-23570.188104055447</v>
          </cell>
          <cell r="BK28">
            <v>-47019.712552551835</v>
          </cell>
          <cell r="BL28">
            <v>-50653.983879688371</v>
          </cell>
        </row>
        <row r="29">
          <cell r="D29">
            <v>-1650.1955852391857</v>
          </cell>
          <cell r="E29">
            <v>-736.47435809624221</v>
          </cell>
          <cell r="F29">
            <v>-770.86309245563427</v>
          </cell>
          <cell r="G29">
            <v>-883.62119973482697</v>
          </cell>
          <cell r="H29">
            <v>-833.96786204907232</v>
          </cell>
          <cell r="I29">
            <v>-1246.9922628739191</v>
          </cell>
          <cell r="J29">
            <v>-889.68824030972462</v>
          </cell>
          <cell r="K29">
            <v>-1174.6267556774633</v>
          </cell>
          <cell r="L29">
            <v>-4496.876481783529</v>
          </cell>
          <cell r="M29">
            <v>-746.63450807013896</v>
          </cell>
          <cell r="N29">
            <v>-1807.1872589586251</v>
          </cell>
          <cell r="O29">
            <v>-1805.9288095583595</v>
          </cell>
          <cell r="P29">
            <v>-916.7817802805157</v>
          </cell>
          <cell r="Q29">
            <v>-965.55799860182481</v>
          </cell>
          <cell r="R29">
            <v>-714.42874776732128</v>
          </cell>
          <cell r="S29">
            <v>-1201.4809616519071</v>
          </cell>
          <cell r="T29">
            <v>-2253.9192560382435</v>
          </cell>
          <cell r="U29">
            <v>-773.13998254062938</v>
          </cell>
          <cell r="V29">
            <v>-742.58680687832896</v>
          </cell>
          <cell r="W29">
            <v>-2216.1345088546568</v>
          </cell>
          <cell r="X29">
            <v>-287.98860817372741</v>
          </cell>
          <cell r="Y29">
            <v>-922.54152699368967</v>
          </cell>
          <cell r="Z29">
            <v>-708.92838467524825</v>
          </cell>
          <cell r="AD29">
            <v>0</v>
          </cell>
          <cell r="AH29">
            <v>0</v>
          </cell>
          <cell r="AL29">
            <v>0</v>
          </cell>
          <cell r="AP29">
            <v>0</v>
          </cell>
          <cell r="AT29">
            <v>0</v>
          </cell>
          <cell r="AX29">
            <v>0</v>
          </cell>
          <cell r="AZ29">
            <v>-11517.154960560629</v>
          </cell>
          <cell r="BA29">
            <v>-10439.729573564273</v>
          </cell>
          <cell r="BB29">
            <v>-5391.340637176444</v>
          </cell>
          <cell r="BC29">
            <v>-5633.6825310448821</v>
          </cell>
          <cell r="BE29">
            <v>-6293.6106804957053</v>
          </cell>
          <cell r="BF29">
            <v>-6981.0399290717869</v>
          </cell>
          <cell r="BG29">
            <v>-2730.1011290403003</v>
          </cell>
          <cell r="BH29">
            <v>-3467.738591723984</v>
          </cell>
          <cell r="BI29">
            <v>-5223.5442800649234</v>
          </cell>
          <cell r="BJ29">
            <v>-3458.6896444924864</v>
          </cell>
          <cell r="BK29">
            <v>-2661.2395081361437</v>
          </cell>
          <cell r="BL29">
            <v>-2165.9439393208986</v>
          </cell>
        </row>
        <row r="30">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D30">
            <v>0</v>
          </cell>
          <cell r="AH30">
            <v>0</v>
          </cell>
          <cell r="AL30">
            <v>0</v>
          </cell>
          <cell r="AP30">
            <v>0</v>
          </cell>
          <cell r="AT30">
            <v>0</v>
          </cell>
          <cell r="AX30">
            <v>0</v>
          </cell>
          <cell r="AZ30">
            <v>0</v>
          </cell>
          <cell r="BA30">
            <v>0</v>
          </cell>
          <cell r="BB30">
            <v>0</v>
          </cell>
          <cell r="BC30">
            <v>0</v>
          </cell>
          <cell r="BE30">
            <v>0</v>
          </cell>
          <cell r="BF30">
            <v>0</v>
          </cell>
          <cell r="BG30">
            <v>0</v>
          </cell>
          <cell r="BH30">
            <v>0</v>
          </cell>
          <cell r="BI30">
            <v>0</v>
          </cell>
          <cell r="BJ30">
            <v>0</v>
          </cell>
          <cell r="BK30">
            <v>0</v>
          </cell>
          <cell r="BL30">
            <v>0</v>
          </cell>
        </row>
        <row r="31">
          <cell r="D31">
            <v>-275210.86701652274</v>
          </cell>
          <cell r="E31">
            <v>-95670.203348679308</v>
          </cell>
          <cell r="F31">
            <v>-243526.363388903</v>
          </cell>
          <cell r="G31">
            <v>-244689.91160634803</v>
          </cell>
          <cell r="H31">
            <v>-233855.60307667608</v>
          </cell>
          <cell r="I31">
            <v>-84306.306594684094</v>
          </cell>
          <cell r="J31">
            <v>-240207.515352185</v>
          </cell>
          <cell r="K31">
            <v>-242824.89072280753</v>
          </cell>
          <cell r="L31">
            <v>-143295.76991111308</v>
          </cell>
          <cell r="M31">
            <v>-85626.038071265808</v>
          </cell>
          <cell r="N31">
            <v>-266835.625664377</v>
          </cell>
          <cell r="O31">
            <v>-234083.21844240007</v>
          </cell>
          <cell r="P31">
            <v>-22820.012442991701</v>
          </cell>
          <cell r="Q31">
            <v>-76175.844537753699</v>
          </cell>
          <cell r="R31">
            <v>-297078.70650339103</v>
          </cell>
          <cell r="S31">
            <v>-252904.6489677545</v>
          </cell>
          <cell r="T31">
            <v>-18527.611549512902</v>
          </cell>
          <cell r="U31">
            <v>-91140.133065654198</v>
          </cell>
          <cell r="V31">
            <v>-320877.76389159099</v>
          </cell>
          <cell r="W31">
            <v>-234368.61847855977</v>
          </cell>
          <cell r="X31">
            <v>-35786.578731301903</v>
          </cell>
          <cell r="Y31">
            <v>-100157.795473192</v>
          </cell>
          <cell r="Z31">
            <v>-330951.47221790801</v>
          </cell>
          <cell r="AD31">
            <v>0</v>
          </cell>
          <cell r="AH31">
            <v>0</v>
          </cell>
          <cell r="AL31">
            <v>0</v>
          </cell>
          <cell r="AP31">
            <v>0</v>
          </cell>
          <cell r="AT31">
            <v>0</v>
          </cell>
          <cell r="AX31">
            <v>0</v>
          </cell>
          <cell r="AZ31">
            <v>-1467907.0555985947</v>
          </cell>
          <cell r="BA31">
            <v>-729496.44272811851</v>
          </cell>
          <cell r="BB31">
            <v>-533076.3210912291</v>
          </cell>
          <cell r="BC31">
            <v>-1699477.4470183551</v>
          </cell>
          <cell r="BE31">
            <v>-746550.56970988016</v>
          </cell>
          <cell r="BF31">
            <v>-652362.2400043119</v>
          </cell>
          <cell r="BG31">
            <v>-265602.54801462922</v>
          </cell>
          <cell r="BH31">
            <v>-750569.50440546498</v>
          </cell>
          <cell r="BI31">
            <v>-721356.48588871432</v>
          </cell>
          <cell r="BJ31">
            <v>-77134.202723806506</v>
          </cell>
          <cell r="BK31">
            <v>-267473.77307659993</v>
          </cell>
          <cell r="BL31">
            <v>-948907.94261289004</v>
          </cell>
        </row>
        <row r="32">
          <cell r="D32">
            <v>-272567.91969295801</v>
          </cell>
          <cell r="E32">
            <v>-95813.943348679299</v>
          </cell>
          <cell r="F32">
            <v>-245341.21238890299</v>
          </cell>
          <cell r="G32">
            <v>-240000.11231263398</v>
          </cell>
          <cell r="H32">
            <v>-227893.03691368899</v>
          </cell>
          <cell r="I32">
            <v>-84696.99309468409</v>
          </cell>
          <cell r="J32">
            <v>-242022.36435218502</v>
          </cell>
          <cell r="K32">
            <v>-242396.296825878</v>
          </cell>
          <cell r="L32">
            <v>-137585.34932754701</v>
          </cell>
          <cell r="M32">
            <v>-86007.825571265799</v>
          </cell>
          <cell r="N32">
            <v>-268650.47466437699</v>
          </cell>
          <cell r="O32">
            <v>-235790.34070539399</v>
          </cell>
          <cell r="P32">
            <v>-22820.012442991701</v>
          </cell>
          <cell r="Q32">
            <v>-76596.469537753699</v>
          </cell>
          <cell r="R32">
            <v>-299247.10250339104</v>
          </cell>
          <cell r="S32">
            <v>-250201.654995544</v>
          </cell>
          <cell r="T32">
            <v>-18527.611549512902</v>
          </cell>
          <cell r="U32">
            <v>-91560.758065654198</v>
          </cell>
          <cell r="V32">
            <v>-323046.159891591</v>
          </cell>
          <cell r="W32">
            <v>-231091.42218219201</v>
          </cell>
          <cell r="X32">
            <v>-35786.578731301903</v>
          </cell>
          <cell r="Y32">
            <v>-100569.43047319201</v>
          </cell>
          <cell r="Z32">
            <v>-333119.86821790802</v>
          </cell>
          <cell r="AD32">
            <v>0</v>
          </cell>
          <cell r="AH32">
            <v>0</v>
          </cell>
          <cell r="AL32">
            <v>0</v>
          </cell>
          <cell r="AP32">
            <v>0</v>
          </cell>
          <cell r="AT32">
            <v>0</v>
          </cell>
          <cell r="AX32">
            <v>0</v>
          </cell>
          <cell r="AZ32">
            <v>-1454631.0040051569</v>
          </cell>
          <cell r="BA32">
            <v>-715180.50865800062</v>
          </cell>
          <cell r="BB32">
            <v>-535245.42009122914</v>
          </cell>
          <cell r="BC32">
            <v>-1711427.182018355</v>
          </cell>
          <cell r="BE32">
            <v>-737547.58612202702</v>
          </cell>
          <cell r="BF32">
            <v>-638046.30593419401</v>
          </cell>
          <cell r="BG32">
            <v>-266518.7620146292</v>
          </cell>
          <cell r="BH32">
            <v>-756014.051405465</v>
          </cell>
          <cell r="BI32">
            <v>-717083.41788313002</v>
          </cell>
          <cell r="BJ32">
            <v>-77134.202723806506</v>
          </cell>
          <cell r="BK32">
            <v>-268726.65807659994</v>
          </cell>
          <cell r="BL32">
            <v>-955413.13061289</v>
          </cell>
        </row>
        <row r="33">
          <cell r="D33">
            <v>-2642.9473235647597</v>
          </cell>
          <cell r="E33">
            <v>143.74</v>
          </cell>
          <cell r="F33">
            <v>1814.8489999999999</v>
          </cell>
          <cell r="G33">
            <v>-4689.7992937140607</v>
          </cell>
          <cell r="H33">
            <v>-5962.5661629870901</v>
          </cell>
          <cell r="I33">
            <v>390.68650000000002</v>
          </cell>
          <cell r="J33">
            <v>1814.8489999999999</v>
          </cell>
          <cell r="K33">
            <v>-428.59389692952499</v>
          </cell>
          <cell r="L33">
            <v>-5710.4205835660796</v>
          </cell>
          <cell r="M33">
            <v>381.78750000000002</v>
          </cell>
          <cell r="N33">
            <v>1814.8489999999999</v>
          </cell>
          <cell r="O33">
            <v>1707.12226299394</v>
          </cell>
          <cell r="P33">
            <v>0</v>
          </cell>
          <cell r="Q33">
            <v>420.625</v>
          </cell>
          <cell r="R33">
            <v>2168.3960000000002</v>
          </cell>
          <cell r="S33">
            <v>-2702.99397221052</v>
          </cell>
          <cell r="T33">
            <v>0</v>
          </cell>
          <cell r="U33">
            <v>420.625</v>
          </cell>
          <cell r="V33">
            <v>2168.3960000000002</v>
          </cell>
          <cell r="W33">
            <v>-3277.1962963677597</v>
          </cell>
          <cell r="X33">
            <v>0</v>
          </cell>
          <cell r="Y33">
            <v>411.63499999999999</v>
          </cell>
          <cell r="Z33">
            <v>2168.3960000000002</v>
          </cell>
          <cell r="AD33">
            <v>0</v>
          </cell>
          <cell r="AH33">
            <v>0</v>
          </cell>
          <cell r="AL33">
            <v>0</v>
          </cell>
          <cell r="AP33">
            <v>0</v>
          </cell>
          <cell r="AT33">
            <v>0</v>
          </cell>
          <cell r="AX33">
            <v>0</v>
          </cell>
          <cell r="AZ33">
            <v>-13276.051593437596</v>
          </cell>
          <cell r="BA33">
            <v>-14315.93407011793</v>
          </cell>
          <cell r="BB33">
            <v>2169.0990000000002</v>
          </cell>
          <cell r="BC33">
            <v>11949.735000000001</v>
          </cell>
          <cell r="BE33">
            <v>-9002.9835878532558</v>
          </cell>
          <cell r="BF33">
            <v>-14315.93407011793</v>
          </cell>
          <cell r="BG33">
            <v>916.21400000000006</v>
          </cell>
          <cell r="BH33">
            <v>5444.5469999999996</v>
          </cell>
          <cell r="BI33">
            <v>-4273.0680055843395</v>
          </cell>
          <cell r="BJ33">
            <v>0</v>
          </cell>
          <cell r="BK33">
            <v>1252.885</v>
          </cell>
          <cell r="BL33">
            <v>6505.1880000000001</v>
          </cell>
        </row>
        <row r="34">
          <cell r="D34">
            <v>-22016.723892640119</v>
          </cell>
          <cell r="E34">
            <v>-5113.0403176435402</v>
          </cell>
          <cell r="F34">
            <v>-10057.250960183301</v>
          </cell>
          <cell r="G34">
            <v>-20928.465636533947</v>
          </cell>
          <cell r="H34">
            <v>-24975.167764121841</v>
          </cell>
          <cell r="I34">
            <v>-4667.4090604987396</v>
          </cell>
          <cell r="J34">
            <v>-9277.0325032272594</v>
          </cell>
          <cell r="K34">
            <v>-14015.205382920542</v>
          </cell>
          <cell r="L34">
            <v>-9125.9120442306303</v>
          </cell>
          <cell r="M34">
            <v>-5173.5142085102689</v>
          </cell>
          <cell r="N34">
            <v>-9225.0165572147998</v>
          </cell>
          <cell r="O34">
            <v>-15246.029051305208</v>
          </cell>
          <cell r="P34">
            <v>734.72899084239998</v>
          </cell>
          <cell r="Q34">
            <v>-4242.5914908021596</v>
          </cell>
          <cell r="R34">
            <v>-12614.728786819098</v>
          </cell>
          <cell r="S34">
            <v>-17357.95677991975</v>
          </cell>
          <cell r="T34">
            <v>-3932.6203054835701</v>
          </cell>
          <cell r="U34">
            <v>-5670.1608844061302</v>
          </cell>
          <cell r="V34">
            <v>-13529.8837561168</v>
          </cell>
          <cell r="W34">
            <v>-20102.905734355969</v>
          </cell>
          <cell r="X34">
            <v>-2679.5270133238701</v>
          </cell>
          <cell r="Y34">
            <v>-5350.6306518502797</v>
          </cell>
          <cell r="Z34">
            <v>-15806.491254545101</v>
          </cell>
          <cell r="AD34">
            <v>0</v>
          </cell>
          <cell r="AH34">
            <v>0</v>
          </cell>
          <cell r="AL34">
            <v>0</v>
          </cell>
          <cell r="AP34">
            <v>0</v>
          </cell>
          <cell r="AT34">
            <v>0</v>
          </cell>
          <cell r="AX34">
            <v>0</v>
          </cell>
          <cell r="AZ34">
            <v>-106772.72239771024</v>
          </cell>
          <cell r="BA34">
            <v>-61995.222028957636</v>
          </cell>
          <cell r="BB34">
            <v>-30217.346613711117</v>
          </cell>
          <cell r="BC34">
            <v>-70510.403818106352</v>
          </cell>
          <cell r="BE34">
            <v>-54065.830832129315</v>
          </cell>
          <cell r="BF34">
            <v>-56117.803700992597</v>
          </cell>
          <cell r="BG34">
            <v>-14953.96358665255</v>
          </cell>
          <cell r="BH34">
            <v>-28559.300020625356</v>
          </cell>
          <cell r="BI34">
            <v>-52706.891565580925</v>
          </cell>
          <cell r="BJ34">
            <v>-5877.4183279650397</v>
          </cell>
          <cell r="BK34">
            <v>-15263.383027058568</v>
          </cell>
          <cell r="BL34">
            <v>-41951.103797481002</v>
          </cell>
        </row>
        <row r="35">
          <cell r="D35">
            <v>-20356.6265872433</v>
          </cell>
          <cell r="E35">
            <v>-3900.5532476435401</v>
          </cell>
          <cell r="F35">
            <v>-8643.1992901833</v>
          </cell>
          <cell r="G35">
            <v>-20311.2230125192</v>
          </cell>
          <cell r="H35">
            <v>-23736.898996549902</v>
          </cell>
          <cell r="I35">
            <v>-3103.6760697852001</v>
          </cell>
          <cell r="J35">
            <v>-7984.7386132272604</v>
          </cell>
          <cell r="K35">
            <v>-12842.408477954401</v>
          </cell>
          <cell r="L35">
            <v>-7867.7455797296498</v>
          </cell>
          <cell r="M35">
            <v>-4268.9454285102702</v>
          </cell>
          <cell r="N35">
            <v>-7979.4132472147994</v>
          </cell>
          <cell r="O35">
            <v>-14761.2358178615</v>
          </cell>
          <cell r="P35">
            <v>2154.6892552828799</v>
          </cell>
          <cell r="Q35">
            <v>-2448.1055908021594</v>
          </cell>
          <cell r="R35">
            <v>-10979.105906819099</v>
          </cell>
          <cell r="S35">
            <v>-16199.712524974701</v>
          </cell>
          <cell r="T35">
            <v>-2088.3182748628201</v>
          </cell>
          <cell r="U35">
            <v>-4341.9408044061302</v>
          </cell>
          <cell r="V35">
            <v>-11741.136816116801</v>
          </cell>
          <cell r="W35">
            <v>-18784.2713021452</v>
          </cell>
          <cell r="X35">
            <v>-1402.3579707895999</v>
          </cell>
          <cell r="Y35">
            <v>-4123.1577218502798</v>
          </cell>
          <cell r="Z35">
            <v>-14217.1260145451</v>
          </cell>
          <cell r="AD35">
            <v>0</v>
          </cell>
          <cell r="AH35">
            <v>0</v>
          </cell>
          <cell r="AL35">
            <v>0</v>
          </cell>
          <cell r="AP35">
            <v>0</v>
          </cell>
          <cell r="AT35">
            <v>0</v>
          </cell>
          <cell r="AX35">
            <v>0</v>
          </cell>
          <cell r="AZ35">
            <v>-100049.20348823399</v>
          </cell>
          <cell r="BA35">
            <v>-53297.258153892391</v>
          </cell>
          <cell r="BB35">
            <v>-22186.378862997579</v>
          </cell>
          <cell r="BC35">
            <v>-61544.719888106352</v>
          </cell>
          <cell r="BE35">
            <v>-50303.983843252601</v>
          </cell>
          <cell r="BF35">
            <v>-51961.271163522855</v>
          </cell>
          <cell r="BG35">
            <v>-11273.17474593901</v>
          </cell>
          <cell r="BH35">
            <v>-24607.351150625356</v>
          </cell>
          <cell r="BI35">
            <v>-49745.2196449814</v>
          </cell>
          <cell r="BJ35">
            <v>-1335.9869903695401</v>
          </cell>
          <cell r="BK35">
            <v>-10913.204117058569</v>
          </cell>
          <cell r="BL35">
            <v>-36937.368737481003</v>
          </cell>
        </row>
        <row r="36">
          <cell r="D36">
            <v>-1660.09730539682</v>
          </cell>
          <cell r="E36">
            <v>-1212.4870700000001</v>
          </cell>
          <cell r="F36">
            <v>-1414.0516699999998</v>
          </cell>
          <cell r="G36">
            <v>-617.24262401474607</v>
          </cell>
          <cell r="H36">
            <v>-1238.2687675719401</v>
          </cell>
          <cell r="I36">
            <v>-1563.7329907135399</v>
          </cell>
          <cell r="J36">
            <v>-1292.2938899999999</v>
          </cell>
          <cell r="K36">
            <v>-1172.7969049661399</v>
          </cell>
          <cell r="L36">
            <v>-1258.1664645009801</v>
          </cell>
          <cell r="M36">
            <v>-904.56877999999892</v>
          </cell>
          <cell r="N36">
            <v>-1245.60331</v>
          </cell>
          <cell r="O36">
            <v>-484.79323344370897</v>
          </cell>
          <cell r="P36">
            <v>-1419.9602644404799</v>
          </cell>
          <cell r="Q36">
            <v>-1794.4858999999999</v>
          </cell>
          <cell r="R36">
            <v>-1635.6228799999999</v>
          </cell>
          <cell r="S36">
            <v>-1158.24425494505</v>
          </cell>
          <cell r="T36">
            <v>-1844.30203062075</v>
          </cell>
          <cell r="U36">
            <v>-1328.2200800000001</v>
          </cell>
          <cell r="V36">
            <v>-1788.74694</v>
          </cell>
          <cell r="W36">
            <v>-1318.63443221077</v>
          </cell>
          <cell r="X36">
            <v>-1277.1690425342701</v>
          </cell>
          <cell r="Y36">
            <v>-1227.4729299999999</v>
          </cell>
          <cell r="Z36">
            <v>-1589.3652400000001</v>
          </cell>
          <cell r="AD36">
            <v>0</v>
          </cell>
          <cell r="AH36">
            <v>0</v>
          </cell>
          <cell r="AL36">
            <v>0</v>
          </cell>
          <cell r="AP36">
            <v>0</v>
          </cell>
          <cell r="AT36">
            <v>0</v>
          </cell>
          <cell r="AX36">
            <v>0</v>
          </cell>
          <cell r="AZ36">
            <v>-6723.5189094762445</v>
          </cell>
          <cell r="BA36">
            <v>-8697.9638750652412</v>
          </cell>
          <cell r="BB36">
            <v>-8030.9677507135384</v>
          </cell>
          <cell r="BC36">
            <v>-8965.6839299999992</v>
          </cell>
          <cell r="BE36">
            <v>-3761.8469888767158</v>
          </cell>
          <cell r="BF36">
            <v>-4156.5325374697404</v>
          </cell>
          <cell r="BG36">
            <v>-3680.7888407135388</v>
          </cell>
          <cell r="BH36">
            <v>-3951.9488699999997</v>
          </cell>
          <cell r="BI36">
            <v>-2961.6719205995287</v>
          </cell>
          <cell r="BJ36">
            <v>-4541.4313375954998</v>
          </cell>
          <cell r="BK36">
            <v>-4350.1789099999996</v>
          </cell>
          <cell r="BL36">
            <v>-5013.73506</v>
          </cell>
        </row>
        <row r="37">
          <cell r="D37">
            <v>-130090.61267948018</v>
          </cell>
          <cell r="E37">
            <v>-101628.37465745785</v>
          </cell>
          <cell r="F37">
            <v>-101020.73380424135</v>
          </cell>
          <cell r="G37">
            <v>-76349.551965056846</v>
          </cell>
          <cell r="H37">
            <v>-128993.93685664404</v>
          </cell>
          <cell r="I37">
            <v>-97773.915922651679</v>
          </cell>
          <cell r="J37">
            <v>-95365.559002334747</v>
          </cell>
          <cell r="K37">
            <v>-186094.12285072159</v>
          </cell>
          <cell r="L37">
            <v>-124037.02042220473</v>
          </cell>
          <cell r="M37">
            <v>-93806.871192646446</v>
          </cell>
          <cell r="N37">
            <v>-95858.636514056067</v>
          </cell>
          <cell r="O37">
            <v>-114080.61108508278</v>
          </cell>
          <cell r="P37">
            <v>-100463.54680298913</v>
          </cell>
          <cell r="Q37">
            <v>-92097.535309159459</v>
          </cell>
          <cell r="R37">
            <v>-100437.44338352657</v>
          </cell>
          <cell r="S37">
            <v>-118816.55425828995</v>
          </cell>
          <cell r="T37">
            <v>-100259.99617769501</v>
          </cell>
          <cell r="U37">
            <v>-91225.865092338718</v>
          </cell>
          <cell r="V37">
            <v>-88304.594343253208</v>
          </cell>
          <cell r="W37">
            <v>-118831.58880256381</v>
          </cell>
          <cell r="X37">
            <v>-106108.37659877916</v>
          </cell>
          <cell r="Y37">
            <v>-85477.656393893674</v>
          </cell>
          <cell r="Z37">
            <v>-94717.07458248944</v>
          </cell>
          <cell r="AD37">
            <v>0</v>
          </cell>
          <cell r="AH37">
            <v>0</v>
          </cell>
          <cell r="AL37">
            <v>0</v>
          </cell>
          <cell r="AP37">
            <v>0</v>
          </cell>
          <cell r="AT37">
            <v>0</v>
          </cell>
          <cell r="AX37">
            <v>0</v>
          </cell>
          <cell r="AZ37">
            <v>-703372.94478903874</v>
          </cell>
          <cell r="BA37">
            <v>-689953.48953779228</v>
          </cell>
          <cell r="BB37">
            <v>-562010.21856814786</v>
          </cell>
          <cell r="BC37">
            <v>-575704.04162990139</v>
          </cell>
          <cell r="BE37">
            <v>-351644.19064310216</v>
          </cell>
          <cell r="BF37">
            <v>-383121.56995832897</v>
          </cell>
          <cell r="BG37">
            <v>-293209.16177275596</v>
          </cell>
          <cell r="BH37">
            <v>-292244.92932063213</v>
          </cell>
          <cell r="BI37">
            <v>-351728.75414593657</v>
          </cell>
          <cell r="BJ37">
            <v>-306831.91957946331</v>
          </cell>
          <cell r="BK37">
            <v>-268801.05679539184</v>
          </cell>
          <cell r="BL37">
            <v>-283459.1123092692</v>
          </cell>
        </row>
        <row r="38">
          <cell r="D38">
            <v>-109879.47034486699</v>
          </cell>
          <cell r="E38">
            <v>-54901.997077396925</v>
          </cell>
          <cell r="F38">
            <v>-81192.835103956008</v>
          </cell>
          <cell r="G38">
            <v>-104078.74063644164</v>
          </cell>
          <cell r="H38">
            <v>-103065.12489831247</v>
          </cell>
          <cell r="I38">
            <v>-58110.104929370376</v>
          </cell>
          <cell r="J38">
            <v>-79530.166933525223</v>
          </cell>
          <cell r="K38">
            <v>-112003.36446784048</v>
          </cell>
          <cell r="L38">
            <v>-72195.619813673868</v>
          </cell>
          <cell r="M38">
            <v>-53196.857235641713</v>
          </cell>
          <cell r="N38">
            <v>-63721.576910023745</v>
          </cell>
          <cell r="O38">
            <v>-102824.27676652258</v>
          </cell>
          <cell r="P38">
            <v>-42981.392766805358</v>
          </cell>
          <cell r="Q38">
            <v>-51405.928806933058</v>
          </cell>
          <cell r="R38">
            <v>-82771.390852911631</v>
          </cell>
          <cell r="S38">
            <v>-103439.96402195346</v>
          </cell>
          <cell r="T38">
            <v>-36123.93335898393</v>
          </cell>
          <cell r="U38">
            <v>-55487.486914239911</v>
          </cell>
          <cell r="V38">
            <v>-90222.43279720431</v>
          </cell>
          <cell r="W38">
            <v>-97139.926695334594</v>
          </cell>
          <cell r="X38">
            <v>-34472.081933264344</v>
          </cell>
          <cell r="Y38">
            <v>-60643.998642315149</v>
          </cell>
          <cell r="Z38">
            <v>-82436.511954850605</v>
          </cell>
          <cell r="AD38">
            <v>0</v>
          </cell>
          <cell r="AH38">
            <v>0</v>
          </cell>
          <cell r="AL38">
            <v>0</v>
          </cell>
          <cell r="AP38">
            <v>0</v>
          </cell>
          <cell r="AT38">
            <v>0</v>
          </cell>
          <cell r="AX38">
            <v>0</v>
          </cell>
          <cell r="AZ38">
            <v>-626225.35650703078</v>
          </cell>
          <cell r="BA38">
            <v>-398717.62311590696</v>
          </cell>
          <cell r="BB38">
            <v>-333746.37360589718</v>
          </cell>
          <cell r="BC38">
            <v>-479874.91455247154</v>
          </cell>
          <cell r="BE38">
            <v>-322821.18902322004</v>
          </cell>
          <cell r="BF38">
            <v>-285140.21505685331</v>
          </cell>
          <cell r="BG38">
            <v>-166208.95924240904</v>
          </cell>
          <cell r="BH38">
            <v>-224444.57894750498</v>
          </cell>
          <cell r="BI38">
            <v>-303404.16748381068</v>
          </cell>
          <cell r="BJ38">
            <v>-113577.40805905362</v>
          </cell>
          <cell r="BK38">
            <v>-167537.41436348812</v>
          </cell>
          <cell r="BL38">
            <v>-255430.33560496653</v>
          </cell>
        </row>
        <row r="39">
          <cell r="D39">
            <v>-63010.649353578701</v>
          </cell>
          <cell r="E39">
            <v>-29063.909266442897</v>
          </cell>
          <cell r="F39">
            <v>-41158.812435976499</v>
          </cell>
          <cell r="G39">
            <v>-57537.897417415101</v>
          </cell>
          <cell r="H39">
            <v>-57541.058800143299</v>
          </cell>
          <cell r="I39">
            <v>-26838.495162105603</v>
          </cell>
          <cell r="J39">
            <v>-30206.695570020998</v>
          </cell>
          <cell r="K39">
            <v>-58182.511652617999</v>
          </cell>
          <cell r="L39">
            <v>-44691.242731399601</v>
          </cell>
          <cell r="M39">
            <v>-23027.470241458701</v>
          </cell>
          <cell r="N39">
            <v>-28620.4549668615</v>
          </cell>
          <cell r="O39">
            <v>-52712.060023127</v>
          </cell>
          <cell r="P39">
            <v>-14801.324594608501</v>
          </cell>
          <cell r="Q39">
            <v>-21986.859819982601</v>
          </cell>
          <cell r="R39">
            <v>-41186.954070397696</v>
          </cell>
          <cell r="S39">
            <v>-55670.403251180098</v>
          </cell>
          <cell r="T39">
            <v>-11822.4864756146</v>
          </cell>
          <cell r="U39">
            <v>-26760.9236825525</v>
          </cell>
          <cell r="V39">
            <v>-41165.694948992103</v>
          </cell>
          <cell r="W39">
            <v>-52739.008190507397</v>
          </cell>
          <cell r="X39">
            <v>-12742.465977416399</v>
          </cell>
          <cell r="Y39">
            <v>-24034.776551570601</v>
          </cell>
          <cell r="Z39">
            <v>-41485.060114337895</v>
          </cell>
          <cell r="AD39">
            <v>0</v>
          </cell>
          <cell r="AH39">
            <v>0</v>
          </cell>
          <cell r="AL39">
            <v>0</v>
          </cell>
          <cell r="AP39">
            <v>0</v>
          </cell>
          <cell r="AT39">
            <v>0</v>
          </cell>
          <cell r="AX39">
            <v>0</v>
          </cell>
          <cell r="AZ39">
            <v>-339223.1170400065</v>
          </cell>
          <cell r="BA39">
            <v>-204609.2279327611</v>
          </cell>
          <cell r="BB39">
            <v>-151712.43472411291</v>
          </cell>
          <cell r="BC39">
            <v>-223823.67210658669</v>
          </cell>
          <cell r="BE39">
            <v>-178101.645575192</v>
          </cell>
          <cell r="BF39">
            <v>-165242.95088512159</v>
          </cell>
          <cell r="BG39">
            <v>-78929.874670007208</v>
          </cell>
          <cell r="BH39">
            <v>-99985.962972859008</v>
          </cell>
          <cell r="BI39">
            <v>-161121.4714648145</v>
          </cell>
          <cell r="BJ39">
            <v>-39366.277047639494</v>
          </cell>
          <cell r="BK39">
            <v>-72782.560054105707</v>
          </cell>
          <cell r="BL39">
            <v>-123837.70913372768</v>
          </cell>
        </row>
        <row r="40">
          <cell r="D40">
            <v>-37154.310481502784</v>
          </cell>
          <cell r="E40">
            <v>-19107.146688222281</v>
          </cell>
          <cell r="F40">
            <v>-34053.570834881604</v>
          </cell>
          <cell r="G40">
            <v>-38890.739574292988</v>
          </cell>
          <cell r="H40">
            <v>-36264.046526327525</v>
          </cell>
          <cell r="I40">
            <v>-23416.369818957293</v>
          </cell>
          <cell r="J40">
            <v>-41626.416862861799</v>
          </cell>
          <cell r="K40">
            <v>-42347.14530092795</v>
          </cell>
          <cell r="L40">
            <v>-22608.885174121919</v>
          </cell>
          <cell r="M40">
            <v>-23653.886651283243</v>
          </cell>
          <cell r="N40">
            <v>-28034.73924188425</v>
          </cell>
          <cell r="O40">
            <v>-41053.730958759334</v>
          </cell>
          <cell r="P40">
            <v>-19823.380998326622</v>
          </cell>
          <cell r="Q40">
            <v>-21558.740334878952</v>
          </cell>
          <cell r="R40">
            <v>-36061.199367110588</v>
          </cell>
          <cell r="S40">
            <v>-41068.272035227761</v>
          </cell>
          <cell r="T40">
            <v>-14646.93452810191</v>
          </cell>
          <cell r="U40">
            <v>-21945.18184217879</v>
          </cell>
          <cell r="V40">
            <v>-40356.393118827677</v>
          </cell>
          <cell r="W40">
            <v>-36800.195234200997</v>
          </cell>
          <cell r="X40">
            <v>-15217.260234447749</v>
          </cell>
          <cell r="Y40">
            <v>-29449.560280797421</v>
          </cell>
          <cell r="Z40">
            <v>-34111.386322887192</v>
          </cell>
          <cell r="AD40">
            <v>0</v>
          </cell>
          <cell r="AH40">
            <v>0</v>
          </cell>
          <cell r="AL40">
            <v>0</v>
          </cell>
          <cell r="AP40">
            <v>0</v>
          </cell>
          <cell r="AT40">
            <v>0</v>
          </cell>
          <cell r="AX40">
            <v>0</v>
          </cell>
          <cell r="AZ40">
            <v>-235104.22702863885</v>
          </cell>
          <cell r="BA40">
            <v>-145714.81794282852</v>
          </cell>
          <cell r="BB40">
            <v>-139130.88561631797</v>
          </cell>
          <cell r="BC40">
            <v>-214243.7057484531</v>
          </cell>
          <cell r="BE40">
            <v>-116182.02880045075</v>
          </cell>
          <cell r="BF40">
            <v>-96027.242181952228</v>
          </cell>
          <cell r="BG40">
            <v>-66177.403158462825</v>
          </cell>
          <cell r="BH40">
            <v>-103714.72693962765</v>
          </cell>
          <cell r="BI40">
            <v>-118922.19822818809</v>
          </cell>
          <cell r="BJ40">
            <v>-49687.57576087628</v>
          </cell>
          <cell r="BK40">
            <v>-72953.482457855163</v>
          </cell>
          <cell r="BL40">
            <v>-110528.97880882546</v>
          </cell>
        </row>
        <row r="41">
          <cell r="D41">
            <v>-1904.20489804621</v>
          </cell>
          <cell r="E41">
            <v>-1718.84999140589</v>
          </cell>
          <cell r="F41">
            <v>-2016.0193290494999</v>
          </cell>
          <cell r="G41">
            <v>-2137.4052244372097</v>
          </cell>
          <cell r="H41">
            <v>-1811.6328047296399</v>
          </cell>
          <cell r="I41">
            <v>-1647.57357897624</v>
          </cell>
          <cell r="J41">
            <v>-2049.5892619604897</v>
          </cell>
          <cell r="K41">
            <v>-2409.18552565651</v>
          </cell>
          <cell r="L41">
            <v>-1676.5374746270102</v>
          </cell>
          <cell r="M41">
            <v>-1634.70100452878</v>
          </cell>
          <cell r="N41">
            <v>-2116.4066528072599</v>
          </cell>
          <cell r="O41">
            <v>-1587.5735811556501</v>
          </cell>
          <cell r="P41">
            <v>-2145.1853355448698</v>
          </cell>
          <cell r="Q41">
            <v>-2162.6653644451098</v>
          </cell>
          <cell r="R41">
            <v>-1170.8214754033802</v>
          </cell>
          <cell r="S41">
            <v>-1576.9868235055599</v>
          </cell>
          <cell r="T41">
            <v>-1718.27098385713</v>
          </cell>
          <cell r="U41">
            <v>-1325.7069349067801</v>
          </cell>
          <cell r="V41">
            <v>-1937.5407013796801</v>
          </cell>
          <cell r="W41">
            <v>-2073.8414239490999</v>
          </cell>
          <cell r="X41">
            <v>-1590.6821221355099</v>
          </cell>
          <cell r="Y41">
            <v>-2702.5683393190202</v>
          </cell>
          <cell r="Z41">
            <v>-1834.3790476254599</v>
          </cell>
          <cell r="AD41">
            <v>0</v>
          </cell>
          <cell r="AH41">
            <v>0</v>
          </cell>
          <cell r="AL41">
            <v>0</v>
          </cell>
          <cell r="AP41">
            <v>0</v>
          </cell>
          <cell r="AT41">
            <v>0</v>
          </cell>
          <cell r="AX41">
            <v>0</v>
          </cell>
          <cell r="AZ41">
            <v>-11994.030897249469</v>
          </cell>
          <cell r="BA41">
            <v>-10846.513618940369</v>
          </cell>
          <cell r="BB41">
            <v>-11192.06521358182</v>
          </cell>
          <cell r="BC41">
            <v>-11124.756468225769</v>
          </cell>
          <cell r="BE41">
            <v>-6755.6290686391603</v>
          </cell>
          <cell r="BF41">
            <v>-5392.3751774028597</v>
          </cell>
          <cell r="BG41">
            <v>-5001.1245749109103</v>
          </cell>
          <cell r="BH41">
            <v>-6182.0152438172499</v>
          </cell>
          <cell r="BI41">
            <v>-5238.4018286103092</v>
          </cell>
          <cell r="BJ41">
            <v>-5454.1384415375096</v>
          </cell>
          <cell r="BK41">
            <v>-6190.9406386709106</v>
          </cell>
          <cell r="BL41">
            <v>-4942.7412244085199</v>
          </cell>
        </row>
        <row r="42">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D42">
            <v>0</v>
          </cell>
          <cell r="AH42">
            <v>0</v>
          </cell>
          <cell r="AL42">
            <v>0</v>
          </cell>
          <cell r="AP42">
            <v>0</v>
          </cell>
          <cell r="AT42">
            <v>0</v>
          </cell>
          <cell r="AX42">
            <v>0</v>
          </cell>
          <cell r="AZ42">
            <v>0</v>
          </cell>
          <cell r="BA42">
            <v>0</v>
          </cell>
          <cell r="BB42">
            <v>0</v>
          </cell>
          <cell r="BC42">
            <v>0</v>
          </cell>
          <cell r="BE42">
            <v>0</v>
          </cell>
          <cell r="BF42">
            <v>0</v>
          </cell>
          <cell r="BG42">
            <v>0</v>
          </cell>
          <cell r="BH42">
            <v>0</v>
          </cell>
          <cell r="BI42">
            <v>0</v>
          </cell>
          <cell r="BJ42">
            <v>0</v>
          </cell>
          <cell r="BK42">
            <v>0</v>
          </cell>
          <cell r="BL42">
            <v>0</v>
          </cell>
        </row>
        <row r="43">
          <cell r="D43">
            <v>-7810.3056117393025</v>
          </cell>
          <cell r="E43">
            <v>-5012.0911313258548</v>
          </cell>
          <cell r="F43">
            <v>-3964.43250404841</v>
          </cell>
          <cell r="G43">
            <v>-5512.6984202963404</v>
          </cell>
          <cell r="H43">
            <v>-7448.3867671119888</v>
          </cell>
          <cell r="I43">
            <v>-6207.6663693312357</v>
          </cell>
          <cell r="J43">
            <v>-5647.4652386819425</v>
          </cell>
          <cell r="K43">
            <v>-9064.5219886380182</v>
          </cell>
          <cell r="L43">
            <v>-3218.9544335253404</v>
          </cell>
          <cell r="M43">
            <v>-4880.7993383709936</v>
          </cell>
          <cell r="N43">
            <v>-4949.9760484707367</v>
          </cell>
          <cell r="O43">
            <v>-7470.9122034806014</v>
          </cell>
          <cell r="P43">
            <v>-6211.50183832537</v>
          </cell>
          <cell r="Q43">
            <v>-5697.6632876263993</v>
          </cell>
          <cell r="R43">
            <v>-4352.4159399999608</v>
          </cell>
          <cell r="S43">
            <v>-5124.3019120400386</v>
          </cell>
          <cell r="T43">
            <v>-7936.2413714102859</v>
          </cell>
          <cell r="U43">
            <v>-5455.6744546018399</v>
          </cell>
          <cell r="V43">
            <v>-6762.8040280048626</v>
          </cell>
          <cell r="W43">
            <v>-5526.8818466771081</v>
          </cell>
          <cell r="X43">
            <v>-4921.6735992646891</v>
          </cell>
          <cell r="Y43">
            <v>-4457.0934706281105</v>
          </cell>
          <cell r="Z43">
            <v>-5005.6864700000415</v>
          </cell>
          <cell r="AD43">
            <v>0</v>
          </cell>
          <cell r="AH43">
            <v>0</v>
          </cell>
          <cell r="AL43">
            <v>0</v>
          </cell>
          <cell r="AP43">
            <v>0</v>
          </cell>
          <cell r="AT43">
            <v>0</v>
          </cell>
          <cell r="AX43">
            <v>0</v>
          </cell>
          <cell r="AZ43">
            <v>-39903.981541135872</v>
          </cell>
          <cell r="BA43">
            <v>-37547.063621376976</v>
          </cell>
          <cell r="BB43">
            <v>-31710.988051884437</v>
          </cell>
          <cell r="BC43">
            <v>-30682.780229205953</v>
          </cell>
          <cell r="BE43">
            <v>-21781.885578938127</v>
          </cell>
          <cell r="BF43">
            <v>-18477.646812376632</v>
          </cell>
          <cell r="BG43">
            <v>-16100.556839028086</v>
          </cell>
          <cell r="BH43">
            <v>-14561.873791201089</v>
          </cell>
          <cell r="BI43">
            <v>-18122.095962197749</v>
          </cell>
          <cell r="BJ43">
            <v>-19069.416809000344</v>
          </cell>
          <cell r="BK43">
            <v>-15610.431212856351</v>
          </cell>
          <cell r="BL43">
            <v>-16120.906438004866</v>
          </cell>
        </row>
        <row r="44">
          <cell r="D44">
            <v>-21566.654803134708</v>
          </cell>
          <cell r="E44">
            <v>-7488.6233968399802</v>
          </cell>
          <cell r="F44">
            <v>-6819.7168166127758</v>
          </cell>
          <cell r="G44">
            <v>-23723.690550346451</v>
          </cell>
          <cell r="H44">
            <v>-21075.881198145282</v>
          </cell>
          <cell r="I44">
            <v>-2928.6817797883928</v>
          </cell>
          <cell r="J44">
            <v>-13661.305307205188</v>
          </cell>
          <cell r="K44">
            <v>-23430.485730831333</v>
          </cell>
          <cell r="L44">
            <v>-7883.3242232496596</v>
          </cell>
          <cell r="M44">
            <v>-5372.6327735791219</v>
          </cell>
          <cell r="N44">
            <v>-12873.380833604246</v>
          </cell>
          <cell r="O44">
            <v>-22682.500521420781</v>
          </cell>
          <cell r="P44">
            <v>-6257.5531573224753</v>
          </cell>
          <cell r="Q44">
            <v>-4403.6458081863602</v>
          </cell>
          <cell r="R44">
            <v>-12091.197695312218</v>
          </cell>
          <cell r="S44">
            <v>-19399.676068042561</v>
          </cell>
          <cell r="T44">
            <v>-4258.7918870793692</v>
          </cell>
          <cell r="U44">
            <v>-5229.3999391015041</v>
          </cell>
          <cell r="V44">
            <v>-13992.298266482212</v>
          </cell>
          <cell r="W44">
            <v>-22246.732432001947</v>
          </cell>
          <cell r="X44">
            <v>-7489.347727590316</v>
          </cell>
          <cell r="Y44">
            <v>-5896.3004784541963</v>
          </cell>
          <cell r="Z44">
            <v>-10873.17951820485</v>
          </cell>
          <cell r="AD44">
            <v>0</v>
          </cell>
          <cell r="AH44">
            <v>0</v>
          </cell>
          <cell r="AL44">
            <v>0</v>
          </cell>
          <cell r="AP44">
            <v>0</v>
          </cell>
          <cell r="AT44">
            <v>0</v>
          </cell>
          <cell r="AX44">
            <v>0</v>
          </cell>
          <cell r="AZ44">
            <v>-128575.00755235257</v>
          </cell>
          <cell r="BA44">
            <v>-68531.552996521801</v>
          </cell>
          <cell r="BB44">
            <v>-31319.284175949557</v>
          </cell>
          <cell r="BC44">
            <v>-70311.078437421485</v>
          </cell>
          <cell r="BE44">
            <v>-64246.098530887277</v>
          </cell>
          <cell r="BF44">
            <v>-50525.860224529642</v>
          </cell>
          <cell r="BG44">
            <v>-15789.937950207495</v>
          </cell>
          <cell r="BH44">
            <v>-33354.402957422208</v>
          </cell>
          <cell r="BI44">
            <v>-64328.909021465282</v>
          </cell>
          <cell r="BJ44">
            <v>-18005.692771992159</v>
          </cell>
          <cell r="BK44">
            <v>-15529.346225742062</v>
          </cell>
          <cell r="BL44">
            <v>-36956.675479999285</v>
          </cell>
        </row>
        <row r="45">
          <cell r="D45">
            <v>-17942.959709792638</v>
          </cell>
          <cell r="E45">
            <v>-6247.55381512849</v>
          </cell>
          <cell r="F45">
            <v>-5210.8238468498757</v>
          </cell>
          <cell r="G45">
            <v>-17987.874139729181</v>
          </cell>
          <cell r="H45">
            <v>-17338.694929372254</v>
          </cell>
          <cell r="I45">
            <v>-1996.0171325884889</v>
          </cell>
          <cell r="J45">
            <v>-11309.436062621458</v>
          </cell>
          <cell r="K45">
            <v>-17646.294543736232</v>
          </cell>
          <cell r="L45">
            <v>-5496.2168805550791</v>
          </cell>
          <cell r="M45">
            <v>-4496.6179597895398</v>
          </cell>
          <cell r="N45">
            <v>-9355.7029047519754</v>
          </cell>
          <cell r="O45">
            <v>-17622.351733306961</v>
          </cell>
          <cell r="P45">
            <v>-5055.2494083796455</v>
          </cell>
          <cell r="Q45">
            <v>-3590.5259948337903</v>
          </cell>
          <cell r="R45">
            <v>-10113.711004973258</v>
          </cell>
          <cell r="S45">
            <v>-14687.516115206601</v>
          </cell>
          <cell r="T45">
            <v>-3101.9882374997992</v>
          </cell>
          <cell r="U45">
            <v>-4659.3180682089051</v>
          </cell>
          <cell r="V45">
            <v>-11619.303361053393</v>
          </cell>
          <cell r="W45">
            <v>-18803.294742209288</v>
          </cell>
          <cell r="X45">
            <v>-5789.1384395488558</v>
          </cell>
          <cell r="Y45">
            <v>-5288.9074329184323</v>
          </cell>
          <cell r="Z45">
            <v>-8571.3111146152896</v>
          </cell>
          <cell r="AD45">
            <v>0</v>
          </cell>
          <cell r="AH45">
            <v>0</v>
          </cell>
          <cell r="AL45">
            <v>0</v>
          </cell>
          <cell r="AP45">
            <v>0</v>
          </cell>
          <cell r="AT45">
            <v>0</v>
          </cell>
          <cell r="AX45">
            <v>0</v>
          </cell>
          <cell r="AZ45">
            <v>-98832.182043939669</v>
          </cell>
          <cell r="BA45">
            <v>-54724.247605148266</v>
          </cell>
          <cell r="BB45">
            <v>-26278.940403467648</v>
          </cell>
          <cell r="BC45">
            <v>-56180.288294865248</v>
          </cell>
          <cell r="BE45">
            <v>-47719.019453216817</v>
          </cell>
          <cell r="BF45">
            <v>-40777.871519719964</v>
          </cell>
          <cell r="BG45">
            <v>-12740.188907506519</v>
          </cell>
          <cell r="BH45">
            <v>-25875.962814223309</v>
          </cell>
          <cell r="BI45">
            <v>-51113.162590722844</v>
          </cell>
          <cell r="BJ45">
            <v>-13946.376085428299</v>
          </cell>
          <cell r="BK45">
            <v>-13538.751495961129</v>
          </cell>
          <cell r="BL45">
            <v>-30304.325480641943</v>
          </cell>
        </row>
        <row r="46">
          <cell r="D46">
            <v>-3623.6950933420699</v>
          </cell>
          <cell r="E46">
            <v>-1241.0695817114899</v>
          </cell>
          <cell r="F46">
            <v>-1608.8929697628998</v>
          </cell>
          <cell r="G46">
            <v>-5735.8164106172699</v>
          </cell>
          <cell r="H46">
            <v>-3737.18626877303</v>
          </cell>
          <cell r="I46">
            <v>-932.66464719990392</v>
          </cell>
          <cell r="J46">
            <v>-2351.8692445837301</v>
          </cell>
          <cell r="K46">
            <v>-5784.1911870950998</v>
          </cell>
          <cell r="L46">
            <v>-2387.10734269458</v>
          </cell>
          <cell r="M46">
            <v>-876.01481378958204</v>
          </cell>
          <cell r="N46">
            <v>-3517.6779288522698</v>
          </cell>
          <cell r="O46">
            <v>-5060.14878811382</v>
          </cell>
          <cell r="P46">
            <v>-1202.30374894283</v>
          </cell>
          <cell r="Q46">
            <v>-813.11981335257008</v>
          </cell>
          <cell r="R46">
            <v>-1977.48669033896</v>
          </cell>
          <cell r="S46">
            <v>-4712.1599528359602</v>
          </cell>
          <cell r="T46">
            <v>-1156.80364957957</v>
          </cell>
          <cell r="U46">
            <v>-570.081870892599</v>
          </cell>
          <cell r="V46">
            <v>-2372.9949054288199</v>
          </cell>
          <cell r="W46">
            <v>-3443.43768979266</v>
          </cell>
          <cell r="X46">
            <v>-1700.20928804146</v>
          </cell>
          <cell r="Y46">
            <v>-607.39304553576392</v>
          </cell>
          <cell r="Z46">
            <v>-2301.8684035895603</v>
          </cell>
          <cell r="AD46">
            <v>0</v>
          </cell>
          <cell r="AH46">
            <v>0</v>
          </cell>
          <cell r="AL46">
            <v>0</v>
          </cell>
          <cell r="AP46">
            <v>0</v>
          </cell>
          <cell r="AT46">
            <v>0</v>
          </cell>
          <cell r="AX46">
            <v>0</v>
          </cell>
          <cell r="AZ46">
            <v>-29742.825508412901</v>
          </cell>
          <cell r="BA46">
            <v>-13807.30539137354</v>
          </cell>
          <cell r="BB46">
            <v>-5040.3437724819087</v>
          </cell>
          <cell r="BC46">
            <v>-14130.790142556238</v>
          </cell>
          <cell r="BE46">
            <v>-16527.07907767046</v>
          </cell>
          <cell r="BF46">
            <v>-9747.9887048096807</v>
          </cell>
          <cell r="BG46">
            <v>-3049.7490427009761</v>
          </cell>
          <cell r="BH46">
            <v>-7478.440143198899</v>
          </cell>
          <cell r="BI46">
            <v>-13215.74643074244</v>
          </cell>
          <cell r="BJ46">
            <v>-4059.3166865638605</v>
          </cell>
          <cell r="BK46">
            <v>-1990.594729780933</v>
          </cell>
          <cell r="BL46">
            <v>-6652.3499993573405</v>
          </cell>
        </row>
        <row r="47">
          <cell r="D47">
            <v>0</v>
          </cell>
          <cell r="E47">
            <v>0</v>
          </cell>
          <cell r="F47">
            <v>-25271.129761370437</v>
          </cell>
          <cell r="G47">
            <v>-43455.309041511602</v>
          </cell>
          <cell r="H47">
            <v>0</v>
          </cell>
          <cell r="I47">
            <v>0</v>
          </cell>
          <cell r="J47">
            <v>-21748.50358909756</v>
          </cell>
          <cell r="K47">
            <v>87938.350649692002</v>
          </cell>
          <cell r="L47">
            <v>0</v>
          </cell>
          <cell r="M47">
            <v>0</v>
          </cell>
          <cell r="N47">
            <v>-22587.900291457212</v>
          </cell>
          <cell r="O47">
            <v>0</v>
          </cell>
          <cell r="P47">
            <v>0</v>
          </cell>
          <cell r="Q47">
            <v>0</v>
          </cell>
          <cell r="R47">
            <v>-22985.891890113231</v>
          </cell>
          <cell r="S47">
            <v>0</v>
          </cell>
          <cell r="T47">
            <v>0</v>
          </cell>
          <cell r="U47">
            <v>-6805.8028899999999</v>
          </cell>
          <cell r="V47">
            <v>-25650.053319840346</v>
          </cell>
          <cell r="W47">
            <v>0</v>
          </cell>
          <cell r="X47">
            <v>0</v>
          </cell>
          <cell r="Y47">
            <v>-8239.2172895650001</v>
          </cell>
          <cell r="Z47">
            <v>-25040.085089366166</v>
          </cell>
          <cell r="AD47">
            <v>0</v>
          </cell>
          <cell r="AH47">
            <v>0</v>
          </cell>
          <cell r="AL47">
            <v>0</v>
          </cell>
          <cell r="AP47">
            <v>0</v>
          </cell>
          <cell r="AT47">
            <v>0</v>
          </cell>
          <cell r="AX47">
            <v>0</v>
          </cell>
          <cell r="AZ47">
            <v>0</v>
          </cell>
          <cell r="BA47">
            <v>0</v>
          </cell>
          <cell r="BB47">
            <v>-15045.020179564999</v>
          </cell>
          <cell r="BC47">
            <v>-143283.56394124494</v>
          </cell>
          <cell r="BE47">
            <v>0</v>
          </cell>
          <cell r="BF47">
            <v>0</v>
          </cell>
          <cell r="BG47">
            <v>0</v>
          </cell>
          <cell r="BH47">
            <v>-69607.533641925198</v>
          </cell>
          <cell r="BI47">
            <v>0</v>
          </cell>
          <cell r="BJ47">
            <v>0</v>
          </cell>
          <cell r="BK47">
            <v>-15045.020179564999</v>
          </cell>
          <cell r="BL47">
            <v>-73676.03029931974</v>
          </cell>
        </row>
        <row r="48">
          <cell r="D48">
            <v>-42480.536915036806</v>
          </cell>
          <cell r="E48">
            <v>-33454.742691693173</v>
          </cell>
          <cell r="F48">
            <v>-53095.746021619903</v>
          </cell>
          <cell r="G48">
            <v>-35627.735646640736</v>
          </cell>
          <cell r="H48">
            <v>-38149.79667711712</v>
          </cell>
          <cell r="I48">
            <v>-31157.044445157302</v>
          </cell>
          <cell r="J48">
            <v>-46620.350521018678</v>
          </cell>
          <cell r="K48">
            <v>-34148.630977676163</v>
          </cell>
          <cell r="L48">
            <v>-13264.362148394339</v>
          </cell>
          <cell r="M48">
            <v>-37842.762217095988</v>
          </cell>
          <cell r="N48">
            <v>-55828.028812544522</v>
          </cell>
          <cell r="O48">
            <v>-42822.812482681344</v>
          </cell>
          <cell r="P48">
            <v>-30410.172694545279</v>
          </cell>
          <cell r="Q48">
            <v>-16934.959275707399</v>
          </cell>
          <cell r="R48">
            <v>-58872.013342015103</v>
          </cell>
          <cell r="S48">
            <v>-35128.873123502679</v>
          </cell>
          <cell r="T48">
            <v>-29966.85901903149</v>
          </cell>
          <cell r="U48">
            <v>-26755.743707077931</v>
          </cell>
          <cell r="V48">
            <v>-40446.77984439081</v>
          </cell>
          <cell r="W48">
            <v>-30003.226287807556</v>
          </cell>
          <cell r="X48">
            <v>-79546.633407076355</v>
          </cell>
          <cell r="Y48">
            <v>-59540.462511547186</v>
          </cell>
          <cell r="Z48">
            <v>-45421.949714872229</v>
          </cell>
          <cell r="AD48">
            <v>0</v>
          </cell>
          <cell r="AH48">
            <v>0</v>
          </cell>
          <cell r="AL48">
            <v>0</v>
          </cell>
          <cell r="AP48">
            <v>0</v>
          </cell>
          <cell r="AT48">
            <v>0</v>
          </cell>
          <cell r="AX48">
            <v>0</v>
          </cell>
          <cell r="AZ48">
            <v>-212010.59088588029</v>
          </cell>
          <cell r="BA48">
            <v>-233818.36086120139</v>
          </cell>
          <cell r="BB48">
            <v>-205685.71484827896</v>
          </cell>
          <cell r="BC48">
            <v>-300284.86825646122</v>
          </cell>
          <cell r="BE48">
            <v>-104055.67899188871</v>
          </cell>
          <cell r="BF48">
            <v>-93894.695740548268</v>
          </cell>
          <cell r="BG48">
            <v>-102454.54935394647</v>
          </cell>
          <cell r="BH48">
            <v>-155544.12535518309</v>
          </cell>
          <cell r="BI48">
            <v>-107954.91189399158</v>
          </cell>
          <cell r="BJ48">
            <v>-139923.66512065311</v>
          </cell>
          <cell r="BK48">
            <v>-103231.16549433251</v>
          </cell>
          <cell r="BL48">
            <v>-144740.74290127814</v>
          </cell>
        </row>
        <row r="49">
          <cell r="D49">
            <v>-36151.060614014204</v>
          </cell>
          <cell r="E49">
            <v>-30576.250080239002</v>
          </cell>
          <cell r="F49">
            <v>-48256.629375983401</v>
          </cell>
          <cell r="G49">
            <v>-30275.2644942755</v>
          </cell>
          <cell r="H49">
            <v>-34416.891476056706</v>
          </cell>
          <cell r="I49">
            <v>-29056.838554522103</v>
          </cell>
          <cell r="J49">
            <v>-44282.192350937796</v>
          </cell>
          <cell r="K49">
            <v>-29404.801366354201</v>
          </cell>
          <cell r="L49">
            <v>-9633.2084141272699</v>
          </cell>
          <cell r="M49">
            <v>-34289.542230595798</v>
          </cell>
          <cell r="N49">
            <v>-51048.406516238501</v>
          </cell>
          <cell r="O49">
            <v>-38267.890108075095</v>
          </cell>
          <cell r="P49">
            <v>-27980.463068071</v>
          </cell>
          <cell r="Q49">
            <v>-14439.738238598</v>
          </cell>
          <cell r="R49">
            <v>-54082.017936387601</v>
          </cell>
          <cell r="S49">
            <v>-29696.802766779401</v>
          </cell>
          <cell r="T49">
            <v>-27601.4685517939</v>
          </cell>
          <cell r="U49">
            <v>-22953.410312014101</v>
          </cell>
          <cell r="V49">
            <v>-36344.592801159997</v>
          </cell>
          <cell r="W49">
            <v>-23865.026860609698</v>
          </cell>
          <cell r="X49">
            <v>-76453.743478946897</v>
          </cell>
          <cell r="Y49">
            <v>-55318.255728903896</v>
          </cell>
          <cell r="Z49">
            <v>-41548.749462860702</v>
          </cell>
          <cell r="AD49">
            <v>0</v>
          </cell>
          <cell r="AH49">
            <v>0</v>
          </cell>
          <cell r="AL49">
            <v>0</v>
          </cell>
          <cell r="AP49">
            <v>0</v>
          </cell>
          <cell r="AT49">
            <v>0</v>
          </cell>
          <cell r="AX49">
            <v>0</v>
          </cell>
          <cell r="AZ49">
            <v>-182810.6693809815</v>
          </cell>
          <cell r="BA49">
            <v>-212236.83560300997</v>
          </cell>
          <cell r="BB49">
            <v>-186634.03514487291</v>
          </cell>
          <cell r="BC49">
            <v>-275562.58844356798</v>
          </cell>
          <cell r="BE49">
            <v>-90980.949645517307</v>
          </cell>
          <cell r="BF49">
            <v>-80201.160504198167</v>
          </cell>
          <cell r="BG49">
            <v>-93922.630865356914</v>
          </cell>
          <cell r="BH49">
            <v>-143587.22824315968</v>
          </cell>
          <cell r="BI49">
            <v>-91829.719735464183</v>
          </cell>
          <cell r="BJ49">
            <v>-132035.6750988118</v>
          </cell>
          <cell r="BK49">
            <v>-92711.404279515991</v>
          </cell>
          <cell r="BL49">
            <v>-131975.36020040829</v>
          </cell>
        </row>
        <row r="50">
          <cell r="D50">
            <v>-6329.4763010226006</v>
          </cell>
          <cell r="E50">
            <v>-2878.4926114541704</v>
          </cell>
          <cell r="F50">
            <v>-4839.1166456364999</v>
          </cell>
          <cell r="G50">
            <v>-5352.4711523652404</v>
          </cell>
          <cell r="H50">
            <v>-3732.90520106041</v>
          </cell>
          <cell r="I50">
            <v>-2100.2058906351999</v>
          </cell>
          <cell r="J50">
            <v>-2338.1581700808802</v>
          </cell>
          <cell r="K50">
            <v>-4743.8296113219594</v>
          </cell>
          <cell r="L50">
            <v>-3631.1537342670699</v>
          </cell>
          <cell r="M50">
            <v>-3553.2199865001903</v>
          </cell>
          <cell r="N50">
            <v>-4779.62229630602</v>
          </cell>
          <cell r="O50">
            <v>-4554.9223746062498</v>
          </cell>
          <cell r="P50">
            <v>-2429.70962647428</v>
          </cell>
          <cell r="Q50">
            <v>-2495.2210371094002</v>
          </cell>
          <cell r="R50">
            <v>-4789.9954056275001</v>
          </cell>
          <cell r="S50">
            <v>-5432.0703567232795</v>
          </cell>
          <cell r="T50">
            <v>-2365.3904672375897</v>
          </cell>
          <cell r="U50">
            <v>-3802.3333950638303</v>
          </cell>
          <cell r="V50">
            <v>-4102.1870432308106</v>
          </cell>
          <cell r="W50">
            <v>-6138.1994271978592</v>
          </cell>
          <cell r="X50">
            <v>-3092.8899281294603</v>
          </cell>
          <cell r="Y50">
            <v>-4222.2067826432904</v>
          </cell>
          <cell r="Z50">
            <v>-3873.2002520115302</v>
          </cell>
          <cell r="AD50">
            <v>0</v>
          </cell>
          <cell r="AH50">
            <v>0</v>
          </cell>
          <cell r="AL50">
            <v>0</v>
          </cell>
          <cell r="AP50">
            <v>0</v>
          </cell>
          <cell r="AT50">
            <v>0</v>
          </cell>
          <cell r="AX50">
            <v>0</v>
          </cell>
          <cell r="AZ50">
            <v>-29199.921504898794</v>
          </cell>
          <cell r="BA50">
            <v>-21581.525258191414</v>
          </cell>
          <cell r="BB50">
            <v>-19051.67970340608</v>
          </cell>
          <cell r="BC50">
            <v>-24722.279812893241</v>
          </cell>
          <cell r="BE50">
            <v>-13074.729346371409</v>
          </cell>
          <cell r="BF50">
            <v>-13693.535236350082</v>
          </cell>
          <cell r="BG50">
            <v>-8531.9184885895593</v>
          </cell>
          <cell r="BH50">
            <v>-11956.8971120234</v>
          </cell>
          <cell r="BI50">
            <v>-16125.192158527389</v>
          </cell>
          <cell r="BJ50">
            <v>-7887.9900218413295</v>
          </cell>
          <cell r="BK50">
            <v>-10519.761214816521</v>
          </cell>
          <cell r="BL50">
            <v>-12765.382700869843</v>
          </cell>
        </row>
        <row r="51">
          <cell r="D51">
            <v>-116080.61741322995</v>
          </cell>
          <cell r="E51">
            <v>-49044.27245012371</v>
          </cell>
          <cell r="F51">
            <v>-69340.996883587068</v>
          </cell>
          <cell r="G51">
            <v>-115860.86253219601</v>
          </cell>
          <cell r="H51">
            <v>-109946.47032479741</v>
          </cell>
          <cell r="I51">
            <v>-67447.434989880683</v>
          </cell>
          <cell r="J51">
            <v>-66790.980172551004</v>
          </cell>
          <cell r="K51">
            <v>-113548.78806138353</v>
          </cell>
          <cell r="L51">
            <v>-103075.03672598029</v>
          </cell>
          <cell r="M51">
            <v>-59877.51208382412</v>
          </cell>
          <cell r="N51">
            <v>-122475.7284666764</v>
          </cell>
          <cell r="O51">
            <v>-112455.06791250338</v>
          </cell>
          <cell r="P51">
            <v>-60381.572433250571</v>
          </cell>
          <cell r="Q51">
            <v>-56816.931757512924</v>
          </cell>
          <cell r="R51">
            <v>-122823.57385026876</v>
          </cell>
          <cell r="S51">
            <v>-111740.86985985927</v>
          </cell>
          <cell r="T51">
            <v>-49919.381660796149</v>
          </cell>
          <cell r="U51">
            <v>-41522.722986624089</v>
          </cell>
          <cell r="V51">
            <v>-118593.48173349243</v>
          </cell>
          <cell r="W51">
            <v>-71846.972130904498</v>
          </cell>
          <cell r="X51">
            <v>-320995.31856922677</v>
          </cell>
          <cell r="Y51">
            <v>-63088.550501989521</v>
          </cell>
          <cell r="Z51">
            <v>-95903.408820174707</v>
          </cell>
          <cell r="AD51">
            <v>0</v>
          </cell>
          <cell r="AH51">
            <v>0</v>
          </cell>
          <cell r="AL51">
            <v>0</v>
          </cell>
          <cell r="AP51">
            <v>0</v>
          </cell>
          <cell r="AT51">
            <v>0</v>
          </cell>
          <cell r="AX51">
            <v>0</v>
          </cell>
          <cell r="AZ51">
            <v>-619792.25108921225</v>
          </cell>
          <cell r="BA51">
            <v>-760398.39712728118</v>
          </cell>
          <cell r="BB51">
            <v>-337799.42476995505</v>
          </cell>
          <cell r="BC51">
            <v>-595928.16992675047</v>
          </cell>
          <cell r="BE51">
            <v>-323750.34118594514</v>
          </cell>
          <cell r="BF51">
            <v>-329105.12446400768</v>
          </cell>
          <cell r="BG51">
            <v>-176369.21952382851</v>
          </cell>
          <cell r="BH51">
            <v>-258607.70552281447</v>
          </cell>
          <cell r="BI51">
            <v>-296041.90990326717</v>
          </cell>
          <cell r="BJ51">
            <v>-431293.2726632735</v>
          </cell>
          <cell r="BK51">
            <v>-161430.20524612651</v>
          </cell>
          <cell r="BL51">
            <v>-337320.46440393594</v>
          </cell>
        </row>
        <row r="52">
          <cell r="D52">
            <v>-22069.091452147506</v>
          </cell>
          <cell r="E52">
            <v>-2702.7584931269853</v>
          </cell>
          <cell r="F52">
            <v>-8791.1389315027682</v>
          </cell>
          <cell r="G52">
            <v>-24051.457411886364</v>
          </cell>
          <cell r="H52">
            <v>-23347.608631376414</v>
          </cell>
          <cell r="I52">
            <v>-8008.5640383629016</v>
          </cell>
          <cell r="J52">
            <v>-10264.287169164692</v>
          </cell>
          <cell r="K52">
            <v>-26593.742843913733</v>
          </cell>
          <cell r="L52">
            <v>-13878.232128589589</v>
          </cell>
          <cell r="M52">
            <v>-7559.2459898541829</v>
          </cell>
          <cell r="N52">
            <v>-38073.168315247553</v>
          </cell>
          <cell r="O52">
            <v>-25019.807664873206</v>
          </cell>
          <cell r="P52">
            <v>-10897.399620173874</v>
          </cell>
          <cell r="Q52">
            <v>-12086.287501504759</v>
          </cell>
          <cell r="R52">
            <v>-19886.752508457048</v>
          </cell>
          <cell r="S52">
            <v>-27601.815307349221</v>
          </cell>
          <cell r="T52">
            <v>-2595.2389187372391</v>
          </cell>
          <cell r="U52">
            <v>-1916.111607729199</v>
          </cell>
          <cell r="V52">
            <v>-14385.624699922539</v>
          </cell>
          <cell r="W52">
            <v>-30006.203608414166</v>
          </cell>
          <cell r="X52">
            <v>-1299.2457310885866</v>
          </cell>
          <cell r="Y52">
            <v>-9536.736947648038</v>
          </cell>
          <cell r="Z52">
            <v>-17526.191066525236</v>
          </cell>
          <cell r="AD52">
            <v>0</v>
          </cell>
          <cell r="AH52">
            <v>0</v>
          </cell>
          <cell r="AL52">
            <v>0</v>
          </cell>
          <cell r="AP52">
            <v>0</v>
          </cell>
          <cell r="AT52">
            <v>0</v>
          </cell>
          <cell r="AX52">
            <v>0</v>
          </cell>
          <cell r="AZ52">
            <v>-158499.32605085257</v>
          </cell>
          <cell r="BA52">
            <v>-74086.816482113194</v>
          </cell>
          <cell r="BB52">
            <v>-41809.704578226068</v>
          </cell>
          <cell r="BC52">
            <v>-108927.16269081984</v>
          </cell>
          <cell r="BE52">
            <v>-75871.499470215989</v>
          </cell>
          <cell r="BF52">
            <v>-59294.932212113505</v>
          </cell>
          <cell r="BG52">
            <v>-18270.56852134407</v>
          </cell>
          <cell r="BH52">
            <v>-57128.594415915009</v>
          </cell>
          <cell r="BI52">
            <v>-82627.826580636582</v>
          </cell>
          <cell r="BJ52">
            <v>-14791.8842699997</v>
          </cell>
          <cell r="BK52">
            <v>-23539.136056881995</v>
          </cell>
          <cell r="BL52">
            <v>-51798.568274904821</v>
          </cell>
        </row>
        <row r="53">
          <cell r="D53">
            <v>-13561.0743329369</v>
          </cell>
          <cell r="E53">
            <v>-3846.6925893224998</v>
          </cell>
          <cell r="F53">
            <v>-8246.31492495165</v>
          </cell>
          <cell r="G53">
            <v>-13268.902776947099</v>
          </cell>
          <cell r="H53">
            <v>-15042.6200663661</v>
          </cell>
          <cell r="I53">
            <v>-4983.7870922681104</v>
          </cell>
          <cell r="J53">
            <v>-7022.5218677578696</v>
          </cell>
          <cell r="K53">
            <v>-14676.860899686</v>
          </cell>
          <cell r="L53">
            <v>-13949.761003677299</v>
          </cell>
          <cell r="M53">
            <v>-4017.0094510037097</v>
          </cell>
          <cell r="N53">
            <v>-6674.5819350798902</v>
          </cell>
          <cell r="O53">
            <v>-11520.8541790373</v>
          </cell>
          <cell r="P53">
            <v>-5361.6482520169193</v>
          </cell>
          <cell r="Q53">
            <v>-4186.2308494014105</v>
          </cell>
          <cell r="R53">
            <v>-8349.0833248956496</v>
          </cell>
          <cell r="S53">
            <v>-13215.844513886999</v>
          </cell>
          <cell r="T53">
            <v>1543.2753555658599</v>
          </cell>
          <cell r="U53">
            <v>-2808.9494003647701</v>
          </cell>
          <cell r="V53">
            <v>-9298.0351403815603</v>
          </cell>
          <cell r="W53">
            <v>-13061.5003311455</v>
          </cell>
          <cell r="X53">
            <v>-2774.3734430193299</v>
          </cell>
          <cell r="Y53">
            <v>-6021.8268028586008</v>
          </cell>
          <cell r="Z53">
            <v>-7893.4154291661398</v>
          </cell>
          <cell r="AD53">
            <v>0</v>
          </cell>
          <cell r="AH53">
            <v>0</v>
          </cell>
          <cell r="AL53">
            <v>0</v>
          </cell>
          <cell r="AP53">
            <v>0</v>
          </cell>
          <cell r="AT53">
            <v>0</v>
          </cell>
          <cell r="AX53">
            <v>0</v>
          </cell>
          <cell r="AZ53">
            <v>-77565.479288888804</v>
          </cell>
          <cell r="BA53">
            <v>-49146.201742450692</v>
          </cell>
          <cell r="BB53">
            <v>-25864.496185219105</v>
          </cell>
          <cell r="BC53">
            <v>-47483.952622232755</v>
          </cell>
          <cell r="BE53">
            <v>-39767.280264818997</v>
          </cell>
          <cell r="BF53">
            <v>-42553.455402980297</v>
          </cell>
          <cell r="BG53">
            <v>-12847.489132594321</v>
          </cell>
          <cell r="BH53">
            <v>-21943.418727789409</v>
          </cell>
          <cell r="BI53">
            <v>-37798.1990240698</v>
          </cell>
          <cell r="BJ53">
            <v>-6592.7463394703891</v>
          </cell>
          <cell r="BK53">
            <v>-13017.007052624782</v>
          </cell>
          <cell r="BL53">
            <v>-25540.53389444335</v>
          </cell>
        </row>
        <row r="54">
          <cell r="D54">
            <v>-12.409429020270306</v>
          </cell>
          <cell r="E54">
            <v>0</v>
          </cell>
          <cell r="F54">
            <v>0</v>
          </cell>
          <cell r="G54">
            <v>-11.38326790026743</v>
          </cell>
          <cell r="H54">
            <v>-2.079859186528441</v>
          </cell>
          <cell r="I54">
            <v>-0.2</v>
          </cell>
          <cell r="J54">
            <v>0</v>
          </cell>
          <cell r="K54">
            <v>-19.042809999999999</v>
          </cell>
          <cell r="L54">
            <v>-2.2491300000000001</v>
          </cell>
          <cell r="M54">
            <v>0</v>
          </cell>
          <cell r="N54">
            <v>0.25</v>
          </cell>
          <cell r="O54">
            <v>-16.141559999999998</v>
          </cell>
          <cell r="P54">
            <v>-0.87657003655204235</v>
          </cell>
          <cell r="Q54">
            <v>-1.5339999999999999E-2</v>
          </cell>
          <cell r="R54">
            <v>0</v>
          </cell>
          <cell r="S54">
            <v>-11.483300086455211</v>
          </cell>
          <cell r="T54">
            <v>0</v>
          </cell>
          <cell r="U54">
            <v>0</v>
          </cell>
          <cell r="V54">
            <v>0</v>
          </cell>
          <cell r="W54">
            <v>-11.747787801716301</v>
          </cell>
          <cell r="X54">
            <v>0</v>
          </cell>
          <cell r="Y54">
            <v>-1.32071725014397E-2</v>
          </cell>
          <cell r="Z54">
            <v>1.65421</v>
          </cell>
          <cell r="AD54">
            <v>0</v>
          </cell>
          <cell r="AH54">
            <v>0</v>
          </cell>
          <cell r="AL54">
            <v>0</v>
          </cell>
          <cell r="AP54">
            <v>0</v>
          </cell>
          <cell r="AT54">
            <v>0</v>
          </cell>
          <cell r="AX54">
            <v>0</v>
          </cell>
          <cell r="AZ54">
            <v>-79.373668176608959</v>
          </cell>
          <cell r="BA54">
            <v>-17.61498824335079</v>
          </cell>
          <cell r="BB54">
            <v>-0.22854717250143972</v>
          </cell>
          <cell r="BC54">
            <v>1.90421</v>
          </cell>
          <cell r="BE54">
            <v>-40.001020288437445</v>
          </cell>
          <cell r="BF54">
            <v>-16.738418206798748</v>
          </cell>
          <cell r="BG54">
            <v>-0.2</v>
          </cell>
          <cell r="BH54">
            <v>0.25</v>
          </cell>
          <cell r="BI54">
            <v>-39.372647888171507</v>
          </cell>
          <cell r="BJ54">
            <v>-0.87657003655204235</v>
          </cell>
          <cell r="BK54">
            <v>-2.8547172501439698E-2</v>
          </cell>
          <cell r="BL54">
            <v>1.65421</v>
          </cell>
        </row>
        <row r="55">
          <cell r="D55">
            <v>-29379.707156369299</v>
          </cell>
          <cell r="E55">
            <v>-7911.0530508827696</v>
          </cell>
          <cell r="F55">
            <v>-18423.670302582403</v>
          </cell>
          <cell r="G55">
            <v>-25631.737941741299</v>
          </cell>
          <cell r="H55">
            <v>-27340.062293159801</v>
          </cell>
          <cell r="I55">
            <v>-19391.892828379099</v>
          </cell>
          <cell r="J55">
            <v>-17804.084500158602</v>
          </cell>
          <cell r="K55">
            <v>-25827.688570284601</v>
          </cell>
          <cell r="L55">
            <v>-27825.113719151501</v>
          </cell>
          <cell r="M55">
            <v>-13063.291126341799</v>
          </cell>
          <cell r="N55">
            <v>-27926.019862904599</v>
          </cell>
          <cell r="O55">
            <v>-22323.577633687401</v>
          </cell>
          <cell r="P55">
            <v>-11927.5267271512</v>
          </cell>
          <cell r="Q55">
            <v>-8668.5778732750096</v>
          </cell>
          <cell r="R55">
            <v>-55034.451917974096</v>
          </cell>
          <cell r="S55">
            <v>-12562.950068031299</v>
          </cell>
          <cell r="T55">
            <v>-20689.997655379899</v>
          </cell>
          <cell r="U55">
            <v>-4578.0769077598397</v>
          </cell>
          <cell r="V55">
            <v>-43848.859517397097</v>
          </cell>
          <cell r="W55">
            <v>12177.980241392101</v>
          </cell>
          <cell r="X55">
            <v>-186611.63532787</v>
          </cell>
          <cell r="Y55">
            <v>-9531.0205610048197</v>
          </cell>
          <cell r="Z55">
            <v>-16811.3301588133</v>
          </cell>
          <cell r="AD55">
            <v>0</v>
          </cell>
          <cell r="AH55">
            <v>0</v>
          </cell>
          <cell r="AL55">
            <v>0</v>
          </cell>
          <cell r="AP55">
            <v>0</v>
          </cell>
          <cell r="AT55">
            <v>0</v>
          </cell>
          <cell r="AX55">
            <v>0</v>
          </cell>
          <cell r="AZ55">
            <v>-90457.14114756629</v>
          </cell>
          <cell r="BA55">
            <v>-303774.04287908168</v>
          </cell>
          <cell r="BB55">
            <v>-63143.912347643338</v>
          </cell>
          <cell r="BC55">
            <v>-179848.41625983009</v>
          </cell>
          <cell r="BE55">
            <v>-67748.5936872397</v>
          </cell>
          <cell r="BF55">
            <v>-84544.883168680593</v>
          </cell>
          <cell r="BG55">
            <v>-40366.237005603667</v>
          </cell>
          <cell r="BH55">
            <v>-64153.774665645607</v>
          </cell>
          <cell r="BI55">
            <v>-22708.547460326605</v>
          </cell>
          <cell r="BJ55">
            <v>-219229.15971040109</v>
          </cell>
          <cell r="BK55">
            <v>-22777.675342039671</v>
          </cell>
          <cell r="BL55">
            <v>-115694.6415941845</v>
          </cell>
        </row>
        <row r="56">
          <cell r="D56">
            <v>-51058.335042755971</v>
          </cell>
          <cell r="E56">
            <v>-34583.768316791458</v>
          </cell>
          <cell r="F56">
            <v>-33879.872724550238</v>
          </cell>
          <cell r="G56">
            <v>-52897.38113372097</v>
          </cell>
          <cell r="H56">
            <v>-44214.099474708557</v>
          </cell>
          <cell r="I56">
            <v>-35062.991030870566</v>
          </cell>
          <cell r="J56">
            <v>-31700.08663546983</v>
          </cell>
          <cell r="K56">
            <v>-46431.452937499205</v>
          </cell>
          <cell r="L56">
            <v>-47419.680744561912</v>
          </cell>
          <cell r="M56">
            <v>-35237.965516624427</v>
          </cell>
          <cell r="N56">
            <v>-49802.208353444359</v>
          </cell>
          <cell r="O56">
            <v>-53574.686874905477</v>
          </cell>
          <cell r="P56">
            <v>-32194.121263872024</v>
          </cell>
          <cell r="Q56">
            <v>-31875.820193331747</v>
          </cell>
          <cell r="R56">
            <v>-39553.28609894195</v>
          </cell>
          <cell r="S56">
            <v>-58348.7766705053</v>
          </cell>
          <cell r="T56">
            <v>-28177.420442244867</v>
          </cell>
          <cell r="U56">
            <v>-32219.585070770278</v>
          </cell>
          <cell r="V56">
            <v>-51060.962375791234</v>
          </cell>
          <cell r="W56">
            <v>-40945.500644935215</v>
          </cell>
          <cell r="X56">
            <v>-130310.0640672489</v>
          </cell>
          <cell r="Y56">
            <v>-37998.952983305557</v>
          </cell>
          <cell r="Z56">
            <v>-53674.126375670035</v>
          </cell>
          <cell r="AD56">
            <v>0</v>
          </cell>
          <cell r="AH56">
            <v>0</v>
          </cell>
          <cell r="AL56">
            <v>0</v>
          </cell>
          <cell r="AP56">
            <v>0</v>
          </cell>
          <cell r="AT56">
            <v>0</v>
          </cell>
          <cell r="AX56">
            <v>0</v>
          </cell>
          <cell r="AZ56">
            <v>-293190.930933728</v>
          </cell>
          <cell r="BA56">
            <v>-333373.72103539226</v>
          </cell>
          <cell r="BB56">
            <v>-206981.08311169402</v>
          </cell>
          <cell r="BC56">
            <v>-259670.54256386767</v>
          </cell>
          <cell r="BE56">
            <v>-140322.96674338201</v>
          </cell>
          <cell r="BF56">
            <v>-142695.11526202646</v>
          </cell>
          <cell r="BG56">
            <v>-104884.72486428644</v>
          </cell>
          <cell r="BH56">
            <v>-115382.16771346443</v>
          </cell>
          <cell r="BI56">
            <v>-152867.96419034599</v>
          </cell>
          <cell r="BJ56">
            <v>-190678.60577336579</v>
          </cell>
          <cell r="BK56">
            <v>-102096.35824740758</v>
          </cell>
          <cell r="BL56">
            <v>-144288.37485040323</v>
          </cell>
        </row>
        <row r="57">
          <cell r="D57">
            <v>-15250.4407226066</v>
          </cell>
          <cell r="E57">
            <v>-13325.7222537657</v>
          </cell>
          <cell r="F57">
            <v>-10370.0125185301</v>
          </cell>
          <cell r="G57">
            <v>-14118.056223416601</v>
          </cell>
          <cell r="H57">
            <v>-12343.411102915799</v>
          </cell>
          <cell r="I57">
            <v>-11525.637762004801</v>
          </cell>
          <cell r="J57">
            <v>-3794.3812962362699</v>
          </cell>
          <cell r="K57">
            <v>-11767.8921641754</v>
          </cell>
          <cell r="L57">
            <v>-5783.4845013745498</v>
          </cell>
          <cell r="M57">
            <v>-8202.98665648733</v>
          </cell>
          <cell r="N57">
            <v>-14361.318719082999</v>
          </cell>
          <cell r="O57">
            <v>-11057.8745066428</v>
          </cell>
          <cell r="P57">
            <v>-8637.1535131364417</v>
          </cell>
          <cell r="Q57">
            <v>-10139.464515245101</v>
          </cell>
          <cell r="R57">
            <v>-10826.8638803957</v>
          </cell>
          <cell r="S57">
            <v>-14434.568833371099</v>
          </cell>
          <cell r="T57">
            <v>-4011.8559086186001</v>
          </cell>
          <cell r="U57">
            <v>-11522.853061094302</v>
          </cell>
          <cell r="V57">
            <v>-22270.399206302402</v>
          </cell>
          <cell r="W57">
            <v>-11158.369783020999</v>
          </cell>
          <cell r="X57">
            <v>-23204.391453424498</v>
          </cell>
          <cell r="Y57">
            <v>-9146.189242494389</v>
          </cell>
          <cell r="Z57">
            <v>-13020.0019977677</v>
          </cell>
          <cell r="AD57">
            <v>0</v>
          </cell>
          <cell r="AH57">
            <v>0</v>
          </cell>
          <cell r="AL57">
            <v>0</v>
          </cell>
          <cell r="AP57">
            <v>0</v>
          </cell>
          <cell r="AT57">
            <v>0</v>
          </cell>
          <cell r="AX57">
            <v>0</v>
          </cell>
          <cell r="AZ57">
            <v>-65285.400935614816</v>
          </cell>
          <cell r="BA57">
            <v>-69230.737202076489</v>
          </cell>
          <cell r="BB57">
            <v>-63862.853491091613</v>
          </cell>
          <cell r="BC57">
            <v>-74642.97761831517</v>
          </cell>
          <cell r="BE57">
            <v>-28634.587812579914</v>
          </cell>
          <cell r="BF57">
            <v>-33377.336326896948</v>
          </cell>
          <cell r="BG57">
            <v>-33054.346672257831</v>
          </cell>
          <cell r="BH57">
            <v>-28525.712533849372</v>
          </cell>
          <cell r="BI57">
            <v>-36650.813123034895</v>
          </cell>
          <cell r="BJ57">
            <v>-35853.400875179541</v>
          </cell>
          <cell r="BK57">
            <v>-30808.50681883379</v>
          </cell>
          <cell r="BL57">
            <v>-46117.265084465806</v>
          </cell>
        </row>
        <row r="58">
          <cell r="D58">
            <v>-15502.322351968811</v>
          </cell>
          <cell r="E58">
            <v>-5537.8130387536603</v>
          </cell>
          <cell r="F58">
            <v>-8405.3882714209794</v>
          </cell>
          <cell r="G58">
            <v>-17839.480495969412</v>
          </cell>
          <cell r="H58">
            <v>-15357.228023339301</v>
          </cell>
          <cell r="I58">
            <v>-6457.7401613889697</v>
          </cell>
          <cell r="J58">
            <v>-9987.5314324296105</v>
          </cell>
          <cell r="K58">
            <v>-16283.835390098851</v>
          </cell>
          <cell r="L58">
            <v>-12847.721233656992</v>
          </cell>
          <cell r="M58">
            <v>-6446.9757259446906</v>
          </cell>
          <cell r="N58">
            <v>-10306.90888951082</v>
          </cell>
          <cell r="O58">
            <v>-15598.986624631611</v>
          </cell>
          <cell r="P58">
            <v>-6339.4707420396198</v>
          </cell>
          <cell r="Q58">
            <v>-5232.0188721783297</v>
          </cell>
          <cell r="R58">
            <v>-10212.71994981565</v>
          </cell>
          <cell r="S58">
            <v>-15455.318034276079</v>
          </cell>
          <cell r="T58">
            <v>-2331.2166477294882</v>
          </cell>
          <cell r="U58">
            <v>-5274.3488361184091</v>
          </cell>
          <cell r="V58">
            <v>-9701.5716956707802</v>
          </cell>
          <cell r="W58">
            <v>-15583.725864475929</v>
          </cell>
          <cell r="X58">
            <v>-2793.3920955101198</v>
          </cell>
          <cell r="Y58">
            <v>-4798.6071468240498</v>
          </cell>
          <cell r="Z58">
            <v>-9905.2051348925306</v>
          </cell>
          <cell r="AD58">
            <v>0</v>
          </cell>
          <cell r="AH58">
            <v>0</v>
          </cell>
          <cell r="AL58">
            <v>0</v>
          </cell>
          <cell r="AP58">
            <v>0</v>
          </cell>
          <cell r="AT58">
            <v>0</v>
          </cell>
          <cell r="AX58">
            <v>0</v>
          </cell>
          <cell r="AZ58">
            <v>-98514.131676304823</v>
          </cell>
          <cell r="BA58">
            <v>-55171.351094244339</v>
          </cell>
          <cell r="BB58">
            <v>-33747.503781208106</v>
          </cell>
          <cell r="BC58">
            <v>-58519.325373740372</v>
          </cell>
          <cell r="BE58">
            <v>-51876.101152921212</v>
          </cell>
          <cell r="BF58">
            <v>-43707.271608965108</v>
          </cell>
          <cell r="BG58">
            <v>-18442.528926087318</v>
          </cell>
          <cell r="BH58">
            <v>-28699.82859336141</v>
          </cell>
          <cell r="BI58">
            <v>-46638.030523383619</v>
          </cell>
          <cell r="BJ58">
            <v>-11464.079485279228</v>
          </cell>
          <cell r="BK58">
            <v>-15304.974855120789</v>
          </cell>
          <cell r="BL58">
            <v>-29819.496780378962</v>
          </cell>
        </row>
        <row r="59">
          <cell r="D59">
            <v>-724.73381516516008</v>
          </cell>
          <cell r="E59">
            <v>-620.41328761106911</v>
          </cell>
          <cell r="F59">
            <v>-456.26844637938058</v>
          </cell>
          <cell r="G59">
            <v>-1039.605570209435</v>
          </cell>
          <cell r="H59">
            <v>-859.173170930938</v>
          </cell>
          <cell r="I59">
            <v>-720.82773731213103</v>
          </cell>
          <cell r="J59">
            <v>-563.36935731768142</v>
          </cell>
          <cell r="K59">
            <v>-973.84597195977074</v>
          </cell>
          <cell r="L59">
            <v>-589.73049697004558</v>
          </cell>
          <cell r="M59">
            <v>-762.46902121772064</v>
          </cell>
          <cell r="N59">
            <v>-500.76912154759992</v>
          </cell>
          <cell r="O59">
            <v>-951.18857406153165</v>
          </cell>
          <cell r="P59">
            <v>-135.5499038894967</v>
          </cell>
          <cell r="Q59">
            <v>-746.44971563278887</v>
          </cell>
          <cell r="R59">
            <v>-504.42715496018928</v>
          </cell>
          <cell r="S59">
            <v>-1212.5008529785168</v>
          </cell>
          <cell r="T59">
            <v>-810.49091133124466</v>
          </cell>
          <cell r="U59">
            <v>-664.29132114401887</v>
          </cell>
          <cell r="V59">
            <v>-566.68222207254496</v>
          </cell>
          <cell r="W59">
            <v>-1016.4919381127515</v>
          </cell>
          <cell r="X59">
            <v>-21.534586563473791</v>
          </cell>
          <cell r="Y59">
            <v>-614.72625789721485</v>
          </cell>
          <cell r="Z59">
            <v>-515.70359791591602</v>
          </cell>
          <cell r="AD59">
            <v>0</v>
          </cell>
          <cell r="AH59">
            <v>0</v>
          </cell>
          <cell r="AL59">
            <v>0</v>
          </cell>
          <cell r="AP59">
            <v>0</v>
          </cell>
          <cell r="AT59">
            <v>0</v>
          </cell>
          <cell r="AX59">
            <v>0</v>
          </cell>
          <cell r="AZ59">
            <v>-5813.9875806063192</v>
          </cell>
          <cell r="BA59">
            <v>-3141.2128848503585</v>
          </cell>
          <cell r="BB59">
            <v>-4129.1773408149438</v>
          </cell>
          <cell r="BC59">
            <v>-3107.2199001933122</v>
          </cell>
          <cell r="BE59">
            <v>-2633.8062154535187</v>
          </cell>
          <cell r="BF59">
            <v>-2173.6374830661434</v>
          </cell>
          <cell r="BG59">
            <v>-2103.7100461409209</v>
          </cell>
          <cell r="BH59">
            <v>-1520.406925244662</v>
          </cell>
          <cell r="BI59">
            <v>-3180.1813651528</v>
          </cell>
          <cell r="BJ59">
            <v>-967.57540178421516</v>
          </cell>
          <cell r="BK59">
            <v>-2025.4672946740225</v>
          </cell>
          <cell r="BL59">
            <v>-1586.8129749486502</v>
          </cell>
        </row>
        <row r="60">
          <cell r="D60">
            <v>-17707.20456680399</v>
          </cell>
          <cell r="E60">
            <v>-14502.969293647342</v>
          </cell>
          <cell r="F60">
            <v>-14003.609000549228</v>
          </cell>
          <cell r="G60">
            <v>-18521.921264723132</v>
          </cell>
          <cell r="H60">
            <v>-14401.604326169887</v>
          </cell>
          <cell r="I60">
            <v>-15193.32987538897</v>
          </cell>
          <cell r="J60">
            <v>-16619.460843600213</v>
          </cell>
          <cell r="K60">
            <v>-16251.136277980115</v>
          </cell>
          <cell r="L60">
            <v>-26798.023130967176</v>
          </cell>
          <cell r="M60">
            <v>-18156.197011970573</v>
          </cell>
          <cell r="N60">
            <v>-23824.735109754358</v>
          </cell>
          <cell r="O60">
            <v>-24645.698344503377</v>
          </cell>
          <cell r="P60">
            <v>-16105.916090268629</v>
          </cell>
          <cell r="Q60">
            <v>-15006.881773056642</v>
          </cell>
          <cell r="R60">
            <v>-16917.524988096964</v>
          </cell>
          <cell r="S60">
            <v>-25214.340510123042</v>
          </cell>
          <cell r="T60">
            <v>-20353.981527597807</v>
          </cell>
          <cell r="U60">
            <v>-15031.698617842665</v>
          </cell>
          <cell r="V60">
            <v>-17156.070280734355</v>
          </cell>
          <cell r="W60">
            <v>-11737.452538645553</v>
          </cell>
          <cell r="X60">
            <v>-103579.03171182788</v>
          </cell>
          <cell r="Y60">
            <v>-22626.827940505751</v>
          </cell>
          <cell r="Z60">
            <v>-27221.807213109158</v>
          </cell>
          <cell r="AD60">
            <v>0</v>
          </cell>
          <cell r="AH60">
            <v>0</v>
          </cell>
          <cell r="AL60">
            <v>0</v>
          </cell>
          <cell r="AP60">
            <v>0</v>
          </cell>
          <cell r="AT60">
            <v>0</v>
          </cell>
          <cell r="AX60">
            <v>0</v>
          </cell>
          <cell r="AZ60">
            <v>-113907.74387570012</v>
          </cell>
          <cell r="BA60">
            <v>-198945.76135363535</v>
          </cell>
          <cell r="BB60">
            <v>-100517.90451241194</v>
          </cell>
          <cell r="BC60">
            <v>-115743.20743584429</v>
          </cell>
          <cell r="BE60">
            <v>-52310.25248242815</v>
          </cell>
          <cell r="BF60">
            <v>-58906.832023941053</v>
          </cell>
          <cell r="BG60">
            <v>-47852.496181006885</v>
          </cell>
          <cell r="BH60">
            <v>-54447.804953903797</v>
          </cell>
          <cell r="BI60">
            <v>-61597.491393271965</v>
          </cell>
          <cell r="BJ60">
            <v>-140038.92932969431</v>
          </cell>
          <cell r="BK60">
            <v>-52665.408331405059</v>
          </cell>
          <cell r="BL60">
            <v>-61295.402481940473</v>
          </cell>
        </row>
        <row r="61">
          <cell r="D61">
            <v>-1873.633586211414</v>
          </cell>
          <cell r="E61">
            <v>-596.85044301368748</v>
          </cell>
          <cell r="F61">
            <v>-644.59448767054607</v>
          </cell>
          <cell r="G61">
            <v>-1378.3175794023859</v>
          </cell>
          <cell r="H61">
            <v>-1252.6828513526339</v>
          </cell>
          <cell r="I61">
            <v>-1164.4554947756901</v>
          </cell>
          <cell r="J61">
            <v>-735.34370588605896</v>
          </cell>
          <cell r="K61">
            <v>-1154.7431332850661</v>
          </cell>
          <cell r="L61">
            <v>-1403.72138159315</v>
          </cell>
          <cell r="M61">
            <v>-1670.3371010041101</v>
          </cell>
          <cell r="N61">
            <v>-808.47651354858306</v>
          </cell>
          <cell r="O61">
            <v>-1320.9388250661568</v>
          </cell>
          <cell r="P61">
            <v>-976.03101453783711</v>
          </cell>
          <cell r="Q61">
            <v>-751.00531721888456</v>
          </cell>
          <cell r="R61">
            <v>-1091.750125673444</v>
          </cell>
          <cell r="S61">
            <v>-2032.0484397565651</v>
          </cell>
          <cell r="T61">
            <v>-666.87544696772795</v>
          </cell>
          <cell r="U61">
            <v>271.60676542911801</v>
          </cell>
          <cell r="V61">
            <v>-1366.2389710111547</v>
          </cell>
          <cell r="W61">
            <v>-1448.4605206799799</v>
          </cell>
          <cell r="X61">
            <v>-711.71421992292767</v>
          </cell>
          <cell r="Y61">
            <v>-812.60239558414901</v>
          </cell>
          <cell r="Z61">
            <v>-3011.4084319847329</v>
          </cell>
          <cell r="AD61">
            <v>0</v>
          </cell>
          <cell r="AH61">
            <v>0</v>
          </cell>
          <cell r="AL61">
            <v>0</v>
          </cell>
          <cell r="AP61">
            <v>0</v>
          </cell>
          <cell r="AT61">
            <v>0</v>
          </cell>
          <cell r="AX61">
            <v>0</v>
          </cell>
          <cell r="AZ61">
            <v>-9669.666865501933</v>
          </cell>
          <cell r="BA61">
            <v>-6884.6585005856905</v>
          </cell>
          <cell r="BB61">
            <v>-4723.6439861674035</v>
          </cell>
          <cell r="BC61">
            <v>-7657.8122357745196</v>
          </cell>
          <cell r="BE61">
            <v>-4868.2190799992295</v>
          </cell>
          <cell r="BF61">
            <v>-4530.0378191571981</v>
          </cell>
          <cell r="BG61">
            <v>-3431.6430387934879</v>
          </cell>
          <cell r="BH61">
            <v>-2188.414707105188</v>
          </cell>
          <cell r="BI61">
            <v>-4801.4477855027017</v>
          </cell>
          <cell r="BJ61">
            <v>-2354.6206814284924</v>
          </cell>
          <cell r="BK61">
            <v>-1292.0009473739156</v>
          </cell>
          <cell r="BL61">
            <v>-5469.3975286693312</v>
          </cell>
        </row>
        <row r="62">
          <cell r="D62">
            <v>-887895.49577580625</v>
          </cell>
          <cell r="E62">
            <v>-429599.8407877041</v>
          </cell>
          <cell r="F62">
            <v>-681319.9671252846</v>
          </cell>
          <cell r="G62">
            <v>-825841.84799530904</v>
          </cell>
          <cell r="H62">
            <v>-784380.5843374657</v>
          </cell>
          <cell r="I62">
            <v>-424357.92701263598</v>
          </cell>
          <cell r="J62">
            <v>-669242.07460139692</v>
          </cell>
          <cell r="K62">
            <v>-779759.97701664944</v>
          </cell>
          <cell r="L62">
            <v>-584103.75483017555</v>
          </cell>
          <cell r="M62">
            <v>-414939.39493024419</v>
          </cell>
          <cell r="N62">
            <v>-746622.9193595734</v>
          </cell>
          <cell r="O62">
            <v>-788941.3666124146</v>
          </cell>
          <cell r="P62">
            <v>-322496.46713604417</v>
          </cell>
          <cell r="Q62">
            <v>-379832.12224645127</v>
          </cell>
          <cell r="R62">
            <v>-808498.39351718081</v>
          </cell>
          <cell r="S62">
            <v>-801418.31009112077</v>
          </cell>
          <cell r="T62">
            <v>-338812.93079531123</v>
          </cell>
          <cell r="U62">
            <v>-401070.53921076376</v>
          </cell>
          <cell r="V62">
            <v>-812507.09879561851</v>
          </cell>
          <cell r="W62">
            <v>-739404.24035081896</v>
          </cell>
          <cell r="X62">
            <v>-605388.3735973154</v>
          </cell>
          <cell r="Y62">
            <v>-465548.69027357991</v>
          </cell>
          <cell r="Z62">
            <v>-791070.26261044678</v>
          </cell>
          <cell r="AD62">
            <v>0</v>
          </cell>
          <cell r="AH62">
            <v>0</v>
          </cell>
          <cell r="AL62">
            <v>0</v>
          </cell>
          <cell r="AP62">
            <v>0</v>
          </cell>
          <cell r="AT62">
            <v>0</v>
          </cell>
          <cell r="AX62">
            <v>0</v>
          </cell>
          <cell r="AZ62">
            <v>-4772908.3455840796</v>
          </cell>
          <cell r="BA62">
            <v>-3523077.6064721188</v>
          </cell>
          <cell r="BB62">
            <v>-2515350.5144613795</v>
          </cell>
          <cell r="BC62">
            <v>-4509260.7160095014</v>
          </cell>
          <cell r="BE62">
            <v>-2443145.4285297249</v>
          </cell>
          <cell r="BF62">
            <v>-2256382.8349434473</v>
          </cell>
          <cell r="BG62">
            <v>-1268897.1627305844</v>
          </cell>
          <cell r="BH62">
            <v>-2097184.9610862546</v>
          </cell>
          <cell r="BI62">
            <v>-2329762.9170543542</v>
          </cell>
          <cell r="BJ62">
            <v>-1266694.7715286708</v>
          </cell>
          <cell r="BK62">
            <v>-1246453.3517307949</v>
          </cell>
          <cell r="BL62">
            <v>-2412075.7549232459</v>
          </cell>
        </row>
        <row r="64">
          <cell r="D64">
            <v>89563.118925807066</v>
          </cell>
          <cell r="E64">
            <v>-79550.178870850592</v>
          </cell>
          <cell r="F64">
            <v>-15944.352850818192</v>
          </cell>
          <cell r="G64">
            <v>-32916.950300602824</v>
          </cell>
          <cell r="H64">
            <v>16859.799445656128</v>
          </cell>
          <cell r="I64">
            <v>-146745.48776556179</v>
          </cell>
          <cell r="J64">
            <v>-73954.211807107902</v>
          </cell>
          <cell r="K64">
            <v>24441.650991132483</v>
          </cell>
          <cell r="L64">
            <v>-10477.263202415314</v>
          </cell>
          <cell r="M64">
            <v>-129437.32049819687</v>
          </cell>
          <cell r="N64">
            <v>-48255.658484142623</v>
          </cell>
          <cell r="O64">
            <v>-41927.960405997466</v>
          </cell>
          <cell r="P64">
            <v>-139156.13041246269</v>
          </cell>
          <cell r="Q64">
            <v>-123579.36753801425</v>
          </cell>
          <cell r="R64">
            <v>-77325.87666250905</v>
          </cell>
          <cell r="S64">
            <v>-19212.753157315776</v>
          </cell>
          <cell r="T64">
            <v>-72879.26963148138</v>
          </cell>
          <cell r="U64">
            <v>-81538.738472525787</v>
          </cell>
          <cell r="V64">
            <v>-74396.652144407155</v>
          </cell>
          <cell r="W64">
            <v>101332.20580056577</v>
          </cell>
          <cell r="X64">
            <v>-482777.33755278564</v>
          </cell>
          <cell r="Y64">
            <v>-152628.8574442768</v>
          </cell>
          <cell r="Z64">
            <v>-34266.643824203289</v>
          </cell>
          <cell r="AD64">
            <v>0</v>
          </cell>
          <cell r="AH64">
            <v>0</v>
          </cell>
          <cell r="AL64">
            <v>0</v>
          </cell>
          <cell r="AP64">
            <v>0</v>
          </cell>
          <cell r="AT64">
            <v>0</v>
          </cell>
          <cell r="AX64">
            <v>0</v>
          </cell>
          <cell r="AZ64">
            <v>122315.45679428149</v>
          </cell>
          <cell r="BA64">
            <v>-598868.08242768236</v>
          </cell>
          <cell r="BB64">
            <v>-713482.95058942609</v>
          </cell>
          <cell r="BC64">
            <v>-324143.39577318868</v>
          </cell>
          <cell r="BE64">
            <v>82122.964557030238</v>
          </cell>
          <cell r="BF64">
            <v>95942.655169048347</v>
          </cell>
          <cell r="BG64">
            <v>-355733.98713460937</v>
          </cell>
          <cell r="BH64">
            <v>-138154.22314206813</v>
          </cell>
          <cell r="BI64">
            <v>40192.492237252649</v>
          </cell>
          <cell r="BJ64">
            <v>-694810.73759672965</v>
          </cell>
          <cell r="BK64">
            <v>-357748.96345481626</v>
          </cell>
          <cell r="BL64">
            <v>-185989.17263111938</v>
          </cell>
        </row>
        <row r="66">
          <cell r="D66">
            <v>-10398.635737542274</v>
          </cell>
          <cell r="E66">
            <v>-54264.105873767257</v>
          </cell>
          <cell r="F66">
            <v>-101686.88216936677</v>
          </cell>
          <cell r="G66">
            <v>-78870.659267106763</v>
          </cell>
          <cell r="H66">
            <v>-27604.481180174149</v>
          </cell>
          <cell r="I66">
            <v>-86854.261615662574</v>
          </cell>
          <cell r="J66">
            <v>-84547.678867161318</v>
          </cell>
          <cell r="K66">
            <v>-75299.292083390683</v>
          </cell>
          <cell r="L66">
            <v>-1978763.0363582931</v>
          </cell>
          <cell r="M66">
            <v>-153748.0483211503</v>
          </cell>
          <cell r="N66">
            <v>-67771.137543850404</v>
          </cell>
          <cell r="O66">
            <v>-46156.117202310823</v>
          </cell>
          <cell r="P66">
            <v>-45085.382202572262</v>
          </cell>
          <cell r="Q66">
            <v>-51513.552323949079</v>
          </cell>
          <cell r="R66">
            <v>-65733.213154627054</v>
          </cell>
          <cell r="S66">
            <v>-28184.255038553099</v>
          </cell>
          <cell r="T66">
            <v>-20209.082106365913</v>
          </cell>
          <cell r="U66">
            <v>-89187.296608878634</v>
          </cell>
          <cell r="V66">
            <v>-176546.72747546065</v>
          </cell>
          <cell r="W66">
            <v>-33048.228204699015</v>
          </cell>
          <cell r="X66">
            <v>-491186.93522001599</v>
          </cell>
          <cell r="Y66">
            <v>-629217.68682504806</v>
          </cell>
          <cell r="Z66">
            <v>-94044.235054067627</v>
          </cell>
          <cell r="AD66">
            <v>0</v>
          </cell>
          <cell r="AH66">
            <v>0</v>
          </cell>
          <cell r="AL66">
            <v>0</v>
          </cell>
          <cell r="AP66">
            <v>0</v>
          </cell>
          <cell r="AT66">
            <v>0</v>
          </cell>
          <cell r="AX66">
            <v>0</v>
          </cell>
          <cell r="AZ66">
            <v>-233068.30527682626</v>
          </cell>
          <cell r="BA66">
            <v>-2573247.5528049637</v>
          </cell>
          <cell r="BB66">
            <v>-1064784.9515684559</v>
          </cell>
          <cell r="BC66">
            <v>-590329.87426453386</v>
          </cell>
          <cell r="BE66">
            <v>-125679.70483126334</v>
          </cell>
          <cell r="BF66">
            <v>-2016766.1532760097</v>
          </cell>
          <cell r="BG66">
            <v>-294866.41581058013</v>
          </cell>
          <cell r="BH66">
            <v>-254005.69858037849</v>
          </cell>
          <cell r="BI66">
            <v>-107388.60044556294</v>
          </cell>
          <cell r="BJ66">
            <v>-556481.39952895418</v>
          </cell>
          <cell r="BK66">
            <v>-769918.53575787577</v>
          </cell>
          <cell r="BL66">
            <v>-336324.17568415531</v>
          </cell>
        </row>
        <row r="67">
          <cell r="D67">
            <v>733.528834671308</v>
          </cell>
          <cell r="E67">
            <v>2302.82069240901</v>
          </cell>
          <cell r="F67">
            <v>1327.9204820027401</v>
          </cell>
          <cell r="G67">
            <v>1750.7592127529201</v>
          </cell>
          <cell r="H67">
            <v>787.67019037566604</v>
          </cell>
          <cell r="I67">
            <v>4158.71793708312</v>
          </cell>
          <cell r="J67">
            <v>1120.7264312267901</v>
          </cell>
          <cell r="K67">
            <v>753.49659136007699</v>
          </cell>
          <cell r="L67">
            <v>5567.5182197645499</v>
          </cell>
          <cell r="M67">
            <v>1007.65503304381</v>
          </cell>
          <cell r="N67">
            <v>2114.4484802237898</v>
          </cell>
          <cell r="O67">
            <v>2740.3267667053101</v>
          </cell>
          <cell r="P67">
            <v>2784.21468288386</v>
          </cell>
          <cell r="Q67">
            <v>1737.58956885111</v>
          </cell>
          <cell r="R67">
            <v>1292.4957483908499</v>
          </cell>
          <cell r="S67">
            <v>1921.9166752065098</v>
          </cell>
          <cell r="T67">
            <v>2116.0393066931701</v>
          </cell>
          <cell r="U67">
            <v>788.00962039711499</v>
          </cell>
          <cell r="V67">
            <v>2187.5713633209402</v>
          </cell>
          <cell r="W67">
            <v>1647.23147390898</v>
          </cell>
          <cell r="X67">
            <v>1051.48088371267</v>
          </cell>
          <cell r="Y67">
            <v>1836.90496821396</v>
          </cell>
          <cell r="Z67">
            <v>2189.8479808760299</v>
          </cell>
          <cell r="AD67">
            <v>0</v>
          </cell>
          <cell r="AH67">
            <v>0</v>
          </cell>
          <cell r="AL67">
            <v>0</v>
          </cell>
          <cell r="AP67">
            <v>0</v>
          </cell>
          <cell r="AT67">
            <v>0</v>
          </cell>
          <cell r="AX67">
            <v>0</v>
          </cell>
          <cell r="AZ67">
            <v>12199.506443290617</v>
          </cell>
          <cell r="BA67">
            <v>13040.452118101222</v>
          </cell>
          <cell r="BB67">
            <v>11831.697819998124</v>
          </cell>
          <cell r="BC67">
            <v>10233.010486041139</v>
          </cell>
          <cell r="BE67">
            <v>5890.0315274698169</v>
          </cell>
          <cell r="BF67">
            <v>7088.7172448115234</v>
          </cell>
          <cell r="BG67">
            <v>7469.1936625359403</v>
          </cell>
          <cell r="BH67">
            <v>4563.09539345332</v>
          </cell>
          <cell r="BI67">
            <v>6309.4749158207997</v>
          </cell>
          <cell r="BJ67">
            <v>5951.7348732896999</v>
          </cell>
          <cell r="BK67">
            <v>4362.5041574621855</v>
          </cell>
          <cell r="BL67">
            <v>5669.9150925878203</v>
          </cell>
        </row>
        <row r="68">
          <cell r="D68">
            <v>-44391.880688675701</v>
          </cell>
          <cell r="E68">
            <v>-57647.825123710994</v>
          </cell>
          <cell r="F68">
            <v>-82508.112662379805</v>
          </cell>
          <cell r="G68">
            <v>-33230.048925032701</v>
          </cell>
          <cell r="H68">
            <v>-40232.187411701598</v>
          </cell>
          <cell r="I68">
            <v>-52748.780236082202</v>
          </cell>
          <cell r="J68">
            <v>-76781.663136335192</v>
          </cell>
          <cell r="K68">
            <v>-80317.546090094707</v>
          </cell>
          <cell r="L68">
            <v>-42729.513779515</v>
          </cell>
          <cell r="M68">
            <v>-83250.423537766095</v>
          </cell>
          <cell r="N68">
            <v>-100109.07431712101</v>
          </cell>
          <cell r="O68">
            <v>-48733.448277673902</v>
          </cell>
          <cell r="P68">
            <v>-42507.250813395403</v>
          </cell>
          <cell r="Q68">
            <v>-62535.762174698801</v>
          </cell>
          <cell r="R68">
            <v>-69135.199464878795</v>
          </cell>
          <cell r="S68">
            <v>-46332.042402184699</v>
          </cell>
          <cell r="T68">
            <v>-39098.110023044799</v>
          </cell>
          <cell r="U68">
            <v>-58564.064167321601</v>
          </cell>
          <cell r="V68">
            <v>-78724.436968024398</v>
          </cell>
          <cell r="W68">
            <v>-46733.430457212999</v>
          </cell>
          <cell r="X68">
            <v>-47189.957338444801</v>
          </cell>
          <cell r="Y68">
            <v>-67779.778325331805</v>
          </cell>
          <cell r="Z68">
            <v>-58561.879850134996</v>
          </cell>
          <cell r="AD68">
            <v>0</v>
          </cell>
          <cell r="AH68">
            <v>0</v>
          </cell>
          <cell r="AL68">
            <v>0</v>
          </cell>
          <cell r="AP68">
            <v>0</v>
          </cell>
          <cell r="AT68">
            <v>0</v>
          </cell>
          <cell r="AX68">
            <v>0</v>
          </cell>
          <cell r="AZ68">
            <v>-280245.29458575853</v>
          </cell>
          <cell r="BA68">
            <v>-256148.9000547773</v>
          </cell>
          <cell r="BB68">
            <v>-382526.63356491149</v>
          </cell>
          <cell r="BC68">
            <v>-465820.3663988742</v>
          </cell>
          <cell r="BE68">
            <v>-138446.37344868691</v>
          </cell>
          <cell r="BF68">
            <v>-127353.5818798923</v>
          </cell>
          <cell r="BG68">
            <v>-193647.0288975593</v>
          </cell>
          <cell r="BH68">
            <v>-259398.85011583602</v>
          </cell>
          <cell r="BI68">
            <v>-141798.92113707159</v>
          </cell>
          <cell r="BJ68">
            <v>-128795.318174885</v>
          </cell>
          <cell r="BK68">
            <v>-188879.60466735222</v>
          </cell>
          <cell r="BL68">
            <v>-206421.51628303819</v>
          </cell>
        </row>
        <row r="69">
          <cell r="D69">
            <v>33259.716116462121</v>
          </cell>
          <cell r="E69">
            <v>1080.8985575347231</v>
          </cell>
          <cell r="F69">
            <v>-20506.689988989703</v>
          </cell>
          <cell r="G69">
            <v>-47391.369554826975</v>
          </cell>
          <cell r="H69">
            <v>11840.03604115178</v>
          </cell>
          <cell r="I69">
            <v>-38264.199316663493</v>
          </cell>
          <cell r="J69">
            <v>-8886.7421620529203</v>
          </cell>
          <cell r="K69">
            <v>4264.7574153439518</v>
          </cell>
          <cell r="L69">
            <v>-1941601.0407985428</v>
          </cell>
          <cell r="M69">
            <v>-71505.27981642801</v>
          </cell>
          <cell r="N69">
            <v>30223.488293046823</v>
          </cell>
          <cell r="O69">
            <v>-162.99569134222887</v>
          </cell>
          <cell r="P69">
            <v>-5362.34607206072</v>
          </cell>
          <cell r="Q69">
            <v>9284.6202818986148</v>
          </cell>
          <cell r="R69">
            <v>2109.4905618608891</v>
          </cell>
          <cell r="S69">
            <v>16225.870688425095</v>
          </cell>
          <cell r="T69">
            <v>16772.988609985714</v>
          </cell>
          <cell r="U69">
            <v>-31411.242061954144</v>
          </cell>
          <cell r="V69">
            <v>-100009.86187075719</v>
          </cell>
          <cell r="W69">
            <v>12037.970778605006</v>
          </cell>
          <cell r="X69">
            <v>-445048.45876528387</v>
          </cell>
          <cell r="Y69">
            <v>-563274.81346793019</v>
          </cell>
          <cell r="Z69">
            <v>-37672.203184808655</v>
          </cell>
          <cell r="AD69">
            <v>0</v>
          </cell>
          <cell r="AH69">
            <v>0</v>
          </cell>
          <cell r="AL69">
            <v>0</v>
          </cell>
          <cell r="AP69">
            <v>0</v>
          </cell>
          <cell r="AT69">
            <v>0</v>
          </cell>
          <cell r="AX69">
            <v>0</v>
          </cell>
          <cell r="AZ69">
            <v>34977.482865641636</v>
          </cell>
          <cell r="BA69">
            <v>-2330139.1048682877</v>
          </cell>
          <cell r="BB69">
            <v>-694090.01582354249</v>
          </cell>
          <cell r="BC69">
            <v>-134742.51835170077</v>
          </cell>
          <cell r="BE69">
            <v>6876.6370899537606</v>
          </cell>
          <cell r="BF69">
            <v>-1896501.2886409289</v>
          </cell>
          <cell r="BG69">
            <v>-108688.58057555679</v>
          </cell>
          <cell r="BH69">
            <v>830.0561420041995</v>
          </cell>
          <cell r="BI69">
            <v>28100.845775687871</v>
          </cell>
          <cell r="BJ69">
            <v>-433637.81622735888</v>
          </cell>
          <cell r="BK69">
            <v>-585401.43524798576</v>
          </cell>
          <cell r="BL69">
            <v>-135572.57449370495</v>
          </cell>
        </row>
        <row r="71">
          <cell r="D71">
            <v>79164.4831882648</v>
          </cell>
          <cell r="E71">
            <v>-133814.28474461785</v>
          </cell>
          <cell r="F71">
            <v>-117631.23502018496</v>
          </cell>
          <cell r="G71">
            <v>-111787.60956770959</v>
          </cell>
          <cell r="H71">
            <v>-10744.681734518021</v>
          </cell>
          <cell r="I71">
            <v>-233599.74938122436</v>
          </cell>
          <cell r="J71">
            <v>-158501.89067426923</v>
          </cell>
          <cell r="K71">
            <v>-50857.6410922582</v>
          </cell>
          <cell r="L71">
            <v>-1989240.2995607085</v>
          </cell>
          <cell r="M71">
            <v>-283185.36881934718</v>
          </cell>
          <cell r="N71">
            <v>-116026.79602799303</v>
          </cell>
          <cell r="O71">
            <v>-88084.077608308289</v>
          </cell>
          <cell r="P71">
            <v>-184241.51261503494</v>
          </cell>
          <cell r="Q71">
            <v>-175092.91986196334</v>
          </cell>
          <cell r="R71">
            <v>-143059.08981713612</v>
          </cell>
          <cell r="S71">
            <v>-47397.008195868875</v>
          </cell>
          <cell r="T71">
            <v>-93088.35173784729</v>
          </cell>
          <cell r="U71">
            <v>-170726.03508140444</v>
          </cell>
          <cell r="V71">
            <v>-250943.3796198678</v>
          </cell>
          <cell r="W71">
            <v>68283.97759586676</v>
          </cell>
          <cell r="X71">
            <v>-973964.27277280157</v>
          </cell>
          <cell r="Y71">
            <v>-781846.54426932486</v>
          </cell>
          <cell r="Z71">
            <v>-128310.87887827092</v>
          </cell>
          <cell r="AD71">
            <v>0</v>
          </cell>
          <cell r="AH71">
            <v>0</v>
          </cell>
          <cell r="AL71">
            <v>0</v>
          </cell>
          <cell r="AP71">
            <v>0</v>
          </cell>
          <cell r="AT71">
            <v>0</v>
          </cell>
          <cell r="AX71">
            <v>0</v>
          </cell>
          <cell r="AZ71">
            <v>-110752.84848254477</v>
          </cell>
          <cell r="BA71">
            <v>-3172115.635232646</v>
          </cell>
          <cell r="BB71">
            <v>-1778267.902157882</v>
          </cell>
          <cell r="BC71">
            <v>-914473.27003772254</v>
          </cell>
          <cell r="BE71">
            <v>-43556.740274233103</v>
          </cell>
          <cell r="BF71">
            <v>-1920823.4981069614</v>
          </cell>
          <cell r="BG71">
            <v>-650600.4029451895</v>
          </cell>
          <cell r="BH71">
            <v>-392159.92172244663</v>
          </cell>
          <cell r="BI71">
            <v>-67196.108208310296</v>
          </cell>
          <cell r="BJ71">
            <v>-1251292.1371256839</v>
          </cell>
          <cell r="BK71">
            <v>-1127667.499212692</v>
          </cell>
          <cell r="BL71">
            <v>-522313.34831527469</v>
          </cell>
        </row>
        <row r="73">
          <cell r="D73">
            <v>-207.21161227704403</v>
          </cell>
          <cell r="E73">
            <v>854.20687835478896</v>
          </cell>
          <cell r="F73">
            <v>-456.97325350042502</v>
          </cell>
          <cell r="G73">
            <v>-1429.4434695985599</v>
          </cell>
          <cell r="H73">
            <v>-1949.2243443264399</v>
          </cell>
          <cell r="I73">
            <v>1030.4393162834001</v>
          </cell>
          <cell r="J73">
            <v>1369.4873207599701</v>
          </cell>
          <cell r="K73">
            <v>1528.7072499929302</v>
          </cell>
          <cell r="L73">
            <v>5414.0325351297697</v>
          </cell>
          <cell r="M73">
            <v>919.63701296526403</v>
          </cell>
          <cell r="N73">
            <v>277.69017114866</v>
          </cell>
          <cell r="O73">
            <v>1713.64786340663</v>
          </cell>
          <cell r="P73">
            <v>4073.22372068718</v>
          </cell>
          <cell r="Q73">
            <v>510.83802869406497</v>
          </cell>
          <cell r="R73">
            <v>-75.0271555315298</v>
          </cell>
          <cell r="S73">
            <v>-2135.4197351333901</v>
          </cell>
          <cell r="T73">
            <v>33.388070368817701</v>
          </cell>
          <cell r="U73">
            <v>620.07514334265704</v>
          </cell>
          <cell r="V73">
            <v>1159.3660979746501</v>
          </cell>
          <cell r="W73">
            <v>1033.5572697945199</v>
          </cell>
          <cell r="X73">
            <v>-302.44480564475799</v>
          </cell>
          <cell r="Y73">
            <v>1509.13773039647</v>
          </cell>
          <cell r="Z73">
            <v>-6.9492627837821903</v>
          </cell>
          <cell r="AD73">
            <v>0</v>
          </cell>
          <cell r="AH73">
            <v>0</v>
          </cell>
          <cell r="AL73">
            <v>0</v>
          </cell>
          <cell r="AP73">
            <v>0</v>
          </cell>
          <cell r="AT73">
            <v>0</v>
          </cell>
          <cell r="AX73">
            <v>0</v>
          </cell>
          <cell r="AZ73">
            <v>-2864.8591605852098</v>
          </cell>
          <cell r="BA73">
            <v>7061.7635639375249</v>
          </cell>
          <cell r="BB73">
            <v>5444.3341100366451</v>
          </cell>
          <cell r="BC73">
            <v>2267.5939180675432</v>
          </cell>
          <cell r="BE73">
            <v>-3476.6445586529699</v>
          </cell>
          <cell r="BF73">
            <v>3257.5965785262856</v>
          </cell>
          <cell r="BG73">
            <v>2804.2832076034533</v>
          </cell>
          <cell r="BH73">
            <v>1190.2042384082051</v>
          </cell>
          <cell r="BI73">
            <v>611.78539806775984</v>
          </cell>
          <cell r="BJ73">
            <v>3804.1669854112397</v>
          </cell>
          <cell r="BK73">
            <v>2640.0509024331923</v>
          </cell>
          <cell r="BL73">
            <v>1077.3896796593381</v>
          </cell>
        </row>
        <row r="75">
          <cell r="D75">
            <v>78957.271575987761</v>
          </cell>
          <cell r="E75">
            <v>-132960.07786626305</v>
          </cell>
          <cell r="F75">
            <v>-118088.20827368539</v>
          </cell>
          <cell r="G75">
            <v>-113217.05303730814</v>
          </cell>
          <cell r="H75">
            <v>-12693.90607884446</v>
          </cell>
          <cell r="I75">
            <v>-232569.31006494098</v>
          </cell>
          <cell r="J75">
            <v>-157132.40335350926</v>
          </cell>
          <cell r="K75">
            <v>-49328.933842265273</v>
          </cell>
          <cell r="L75">
            <v>-1983826.2670255788</v>
          </cell>
          <cell r="M75">
            <v>-282265.7318063819</v>
          </cell>
          <cell r="N75">
            <v>-115749.10585684437</v>
          </cell>
          <cell r="O75">
            <v>-86370.429744901659</v>
          </cell>
          <cell r="P75">
            <v>-180168.28889434776</v>
          </cell>
          <cell r="Q75">
            <v>-174582.08183326927</v>
          </cell>
          <cell r="R75">
            <v>-143134.11697266766</v>
          </cell>
          <cell r="S75">
            <v>-49532.427931002268</v>
          </cell>
          <cell r="T75">
            <v>-93054.963667478471</v>
          </cell>
          <cell r="U75">
            <v>-170105.95993806177</v>
          </cell>
          <cell r="V75">
            <v>-249784.01352189315</v>
          </cell>
          <cell r="W75">
            <v>69317.534865661277</v>
          </cell>
          <cell r="X75">
            <v>-974266.71757844638</v>
          </cell>
          <cell r="Y75">
            <v>-780337.40653892839</v>
          </cell>
          <cell r="Z75">
            <v>-128317.82814105469</v>
          </cell>
          <cell r="AD75">
            <v>0</v>
          </cell>
          <cell r="AH75">
            <v>0</v>
          </cell>
          <cell r="AL75">
            <v>0</v>
          </cell>
          <cell r="AP75">
            <v>0</v>
          </cell>
          <cell r="AT75">
            <v>0</v>
          </cell>
          <cell r="AX75">
            <v>0</v>
          </cell>
          <cell r="AZ75">
            <v>-113617.70764312998</v>
          </cell>
          <cell r="BA75">
            <v>-3165053.8716687085</v>
          </cell>
          <cell r="BB75">
            <v>-1772823.5680478453</v>
          </cell>
          <cell r="BC75">
            <v>-912205.67611965502</v>
          </cell>
          <cell r="BE75">
            <v>-47033.384832886077</v>
          </cell>
          <cell r="BF75">
            <v>-1917565.9015284351</v>
          </cell>
          <cell r="BG75">
            <v>-647796.11973758601</v>
          </cell>
          <cell r="BH75">
            <v>-390969.71748403844</v>
          </cell>
          <cell r="BI75">
            <v>-66584.322810242535</v>
          </cell>
          <cell r="BJ75">
            <v>-1247487.9701402728</v>
          </cell>
          <cell r="BK75">
            <v>-1125027.4483102588</v>
          </cell>
          <cell r="BL75">
            <v>-521235.95863561536</v>
          </cell>
        </row>
        <row r="77">
          <cell r="D77">
            <v>-25718.921665641697</v>
          </cell>
          <cell r="E77">
            <v>21456.576963634201</v>
          </cell>
          <cell r="F77">
            <v>8026.7285150650996</v>
          </cell>
          <cell r="G77">
            <v>21860.065909581299</v>
          </cell>
          <cell r="H77">
            <v>5369.6832649387397</v>
          </cell>
          <cell r="I77">
            <v>146134.309127318</v>
          </cell>
          <cell r="J77">
            <v>3228.4573272119501</v>
          </cell>
          <cell r="K77">
            <v>-14536.624449474901</v>
          </cell>
          <cell r="L77">
            <v>-182327.13430120001</v>
          </cell>
          <cell r="M77">
            <v>49338.501853909002</v>
          </cell>
          <cell r="N77">
            <v>-359.98982751179597</v>
          </cell>
          <cell r="O77">
            <v>8963.4341604189103</v>
          </cell>
          <cell r="P77">
            <v>44510.2625809643</v>
          </cell>
          <cell r="Q77">
            <v>40168.070031445299</v>
          </cell>
          <cell r="R77">
            <v>-6992.8652988417398</v>
          </cell>
          <cell r="S77">
            <v>9357.4786489514809</v>
          </cell>
          <cell r="T77">
            <v>9571.5178362211009</v>
          </cell>
          <cell r="U77">
            <v>31900.141834867398</v>
          </cell>
          <cell r="V77">
            <v>3300.0773277716198</v>
          </cell>
          <cell r="W77">
            <v>-14555.130655290701</v>
          </cell>
          <cell r="X77">
            <v>303362.15089841402</v>
          </cell>
          <cell r="Y77">
            <v>283320.44041147601</v>
          </cell>
          <cell r="Z77">
            <v>1730.4195490933998</v>
          </cell>
          <cell r="AD77">
            <v>0</v>
          </cell>
          <cell r="AH77">
            <v>0</v>
          </cell>
          <cell r="AL77">
            <v>0</v>
          </cell>
          <cell r="AP77">
            <v>0</v>
          </cell>
          <cell r="AT77">
            <v>0</v>
          </cell>
          <cell r="AX77">
            <v>0</v>
          </cell>
          <cell r="AZ77">
            <v>-9274.6259272661118</v>
          </cell>
          <cell r="BA77">
            <v>154767.55861369648</v>
          </cell>
          <cell r="BB77">
            <v>572318.04022264993</v>
          </cell>
          <cell r="BC77">
            <v>8932.8275927885334</v>
          </cell>
          <cell r="BE77">
            <v>-13040.408081345802</v>
          </cell>
          <cell r="BF77">
            <v>-202676.37270190296</v>
          </cell>
          <cell r="BG77">
            <v>216929.3879448612</v>
          </cell>
          <cell r="BH77">
            <v>10895.196014765253</v>
          </cell>
          <cell r="BI77">
            <v>3765.7821540796904</v>
          </cell>
          <cell r="BJ77">
            <v>357443.93131559942</v>
          </cell>
          <cell r="BK77">
            <v>355388.65227778873</v>
          </cell>
          <cell r="BL77">
            <v>-1962.3684219767201</v>
          </cell>
        </row>
        <row r="79">
          <cell r="D79">
            <v>53238.349910346064</v>
          </cell>
          <cell r="E79">
            <v>-111503.50090262885</v>
          </cell>
          <cell r="F79">
            <v>-110061.47975862029</v>
          </cell>
          <cell r="G79">
            <v>-91356.987127726839</v>
          </cell>
          <cell r="H79">
            <v>-7324.2228139057206</v>
          </cell>
          <cell r="I79">
            <v>-86435.000937622972</v>
          </cell>
          <cell r="J79">
            <v>-153903.94602629732</v>
          </cell>
          <cell r="K79">
            <v>-63865.55829174017</v>
          </cell>
          <cell r="L79">
            <v>-2166153.4013267788</v>
          </cell>
          <cell r="M79">
            <v>-232927.2299524729</v>
          </cell>
          <cell r="N79">
            <v>-116109.09568435617</v>
          </cell>
          <cell r="O79">
            <v>-77407.995584482749</v>
          </cell>
          <cell r="P79">
            <v>-135658.02631338345</v>
          </cell>
          <cell r="Q79">
            <v>-134414.01180182397</v>
          </cell>
          <cell r="R79">
            <v>-150126.98227150939</v>
          </cell>
          <cell r="S79">
            <v>-40174.949282050788</v>
          </cell>
          <cell r="T79">
            <v>-83484.44583125737</v>
          </cell>
          <cell r="U79">
            <v>-138205.81810319438</v>
          </cell>
          <cell r="V79">
            <v>-246483.93619412155</v>
          </cell>
          <cell r="W79">
            <v>54763.404210370572</v>
          </cell>
          <cell r="X79">
            <v>-670904.56668003229</v>
          </cell>
          <cell r="Y79">
            <v>-497016.96612745238</v>
          </cell>
          <cell r="Z79">
            <v>-126587.40859196128</v>
          </cell>
          <cell r="AD79">
            <v>0</v>
          </cell>
          <cell r="AH79">
            <v>0</v>
          </cell>
          <cell r="AL79">
            <v>0</v>
          </cell>
          <cell r="AP79">
            <v>0</v>
          </cell>
          <cell r="AT79">
            <v>0</v>
          </cell>
          <cell r="AX79">
            <v>0</v>
          </cell>
          <cell r="AZ79">
            <v>-122892.33357039609</v>
          </cell>
          <cell r="BA79">
            <v>-3010286.3130550119</v>
          </cell>
          <cell r="BB79">
            <v>-1200505.5278251953</v>
          </cell>
          <cell r="BC79">
            <v>-903272.84852686652</v>
          </cell>
          <cell r="BE79">
            <v>-60073.792914231875</v>
          </cell>
          <cell r="BF79">
            <v>-2120242.2742303382</v>
          </cell>
          <cell r="BG79">
            <v>-430866.73179272481</v>
          </cell>
          <cell r="BH79">
            <v>-380074.5214692732</v>
          </cell>
          <cell r="BI79">
            <v>-62818.540656162848</v>
          </cell>
          <cell r="BJ79">
            <v>-890044.03882467328</v>
          </cell>
          <cell r="BK79">
            <v>-769638.79603247007</v>
          </cell>
          <cell r="BL79">
            <v>-523198.32705759211</v>
          </cell>
        </row>
        <row r="80">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D80">
            <v>0</v>
          </cell>
          <cell r="AH80">
            <v>0</v>
          </cell>
          <cell r="AL80">
            <v>0</v>
          </cell>
          <cell r="AP80">
            <v>0</v>
          </cell>
          <cell r="AT80">
            <v>0</v>
          </cell>
          <cell r="AX80">
            <v>0</v>
          </cell>
          <cell r="AZ80">
            <v>0</v>
          </cell>
          <cell r="BA80">
            <v>0</v>
          </cell>
          <cell r="BB80">
            <v>0</v>
          </cell>
          <cell r="BC80">
            <v>0</v>
          </cell>
          <cell r="BE80">
            <v>0</v>
          </cell>
          <cell r="BF80">
            <v>0</v>
          </cell>
          <cell r="BG80">
            <v>0</v>
          </cell>
          <cell r="BH80">
            <v>-7.0521723047106272E-2</v>
          </cell>
          <cell r="BI80">
            <v>0</v>
          </cell>
          <cell r="BJ80">
            <v>0</v>
          </cell>
          <cell r="BK80">
            <v>0</v>
          </cell>
          <cell r="BL80">
            <v>0</v>
          </cell>
        </row>
        <row r="82">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D82">
            <v>0</v>
          </cell>
          <cell r="AH82">
            <v>0</v>
          </cell>
          <cell r="AL82">
            <v>0</v>
          </cell>
          <cell r="AP82">
            <v>0</v>
          </cell>
          <cell r="AT82">
            <v>0</v>
          </cell>
          <cell r="AX82">
            <v>0</v>
          </cell>
          <cell r="AZ82">
            <v>0</v>
          </cell>
          <cell r="BA82">
            <v>0</v>
          </cell>
          <cell r="BB82">
            <v>0</v>
          </cell>
          <cell r="BC82">
            <v>0</v>
          </cell>
          <cell r="BE82">
            <v>0</v>
          </cell>
          <cell r="BF82">
            <v>0</v>
          </cell>
          <cell r="BG82">
            <v>0</v>
          </cell>
          <cell r="BH82">
            <v>0</v>
          </cell>
          <cell r="BI82">
            <v>0</v>
          </cell>
          <cell r="BJ82">
            <v>0</v>
          </cell>
          <cell r="BK82">
            <v>0</v>
          </cell>
          <cell r="BL82">
            <v>0</v>
          </cell>
        </row>
        <row r="83">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D83">
            <v>0</v>
          </cell>
          <cell r="AH83">
            <v>0</v>
          </cell>
          <cell r="AL83">
            <v>0</v>
          </cell>
          <cell r="AP83">
            <v>0</v>
          </cell>
          <cell r="AT83">
            <v>0</v>
          </cell>
          <cell r="AX83">
            <v>0</v>
          </cell>
          <cell r="AZ83">
            <v>0</v>
          </cell>
          <cell r="BA83">
            <v>0</v>
          </cell>
          <cell r="BB83">
            <v>0</v>
          </cell>
          <cell r="BC83">
            <v>0</v>
          </cell>
          <cell r="BE83">
            <v>0</v>
          </cell>
          <cell r="BF83">
            <v>0</v>
          </cell>
          <cell r="BG83">
            <v>0</v>
          </cell>
          <cell r="BH83">
            <v>0</v>
          </cell>
          <cell r="BI83">
            <v>0</v>
          </cell>
          <cell r="BJ83">
            <v>0</v>
          </cell>
          <cell r="BK83">
            <v>0</v>
          </cell>
          <cell r="BL83">
            <v>0</v>
          </cell>
        </row>
        <row r="84">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D84">
            <v>0</v>
          </cell>
          <cell r="AH84">
            <v>0</v>
          </cell>
          <cell r="AL84">
            <v>0</v>
          </cell>
          <cell r="AP84">
            <v>0</v>
          </cell>
          <cell r="AT84">
            <v>0</v>
          </cell>
          <cell r="AX84">
            <v>0</v>
          </cell>
        </row>
        <row r="85">
          <cell r="D85">
            <v>1854540.9965515998</v>
          </cell>
          <cell r="E85">
            <v>836135.85666240007</v>
          </cell>
          <cell r="F85">
            <v>1326948.68769</v>
          </cell>
          <cell r="G85">
            <v>1806858.8761975002</v>
          </cell>
          <cell r="H85">
            <v>1699024.9376913046</v>
          </cell>
          <cell r="I85">
            <v>669622.87065299996</v>
          </cell>
          <cell r="J85">
            <v>1167474.435299</v>
          </cell>
          <cell r="K85">
            <v>1895233.2517489993</v>
          </cell>
          <cell r="L85">
            <v>1395330.5848607477</v>
          </cell>
          <cell r="M85">
            <v>683807.661555</v>
          </cell>
          <cell r="N85">
            <v>1225161.9534239999</v>
          </cell>
          <cell r="O85">
            <v>1759406.6017319998</v>
          </cell>
          <cell r="P85">
            <v>365065.41849000001</v>
          </cell>
          <cell r="Q85">
            <v>552391.60360640008</v>
          </cell>
          <cell r="R85">
            <v>1217088.2948966001</v>
          </cell>
          <cell r="S85">
            <v>1595333.8876809999</v>
          </cell>
          <cell r="T85">
            <v>538336.70757959993</v>
          </cell>
          <cell r="U85">
            <v>622498.79999069998</v>
          </cell>
          <cell r="V85">
            <v>1328660.629468</v>
          </cell>
          <cell r="W85">
            <v>1748062.5559481001</v>
          </cell>
          <cell r="X85">
            <v>481434.35401499999</v>
          </cell>
          <cell r="Y85">
            <v>691169.87172900001</v>
          </cell>
          <cell r="Z85">
            <v>1289902.002051</v>
          </cell>
          <cell r="AD85">
            <v>0</v>
          </cell>
          <cell r="AH85">
            <v>0</v>
          </cell>
          <cell r="AL85">
            <v>0</v>
          </cell>
          <cell r="AP85">
            <v>0</v>
          </cell>
          <cell r="AT85">
            <v>0</v>
          </cell>
          <cell r="AX85">
            <v>0</v>
          </cell>
          <cell r="AZ85">
            <v>10576662.725695599</v>
          </cell>
          <cell r="BA85">
            <v>6333732.9991882518</v>
          </cell>
          <cell r="BB85">
            <v>4055626.6641965001</v>
          </cell>
          <cell r="BC85">
            <v>7555236.0028285999</v>
          </cell>
          <cell r="BE85">
            <v>5473859.6803344991</v>
          </cell>
          <cell r="BF85">
            <v>4948896.5191036519</v>
          </cell>
          <cell r="BG85">
            <v>2189566.3888703999</v>
          </cell>
          <cell r="BH85">
            <v>3719585.076413</v>
          </cell>
          <cell r="BI85">
            <v>5102803.0453610998</v>
          </cell>
          <cell r="BJ85">
            <v>1384836.4800845999</v>
          </cell>
          <cell r="BK85">
            <v>1866060.2753261002</v>
          </cell>
          <cell r="BL85">
            <v>3835650.9264156003</v>
          </cell>
        </row>
        <row r="86">
          <cell r="D86">
            <v>13757747.813000001</v>
          </cell>
          <cell r="E86">
            <v>5475714.8839999996</v>
          </cell>
          <cell r="F86">
            <v>9370895.1459999997</v>
          </cell>
          <cell r="G86">
            <v>12033357.179000001</v>
          </cell>
          <cell r="H86">
            <v>12659663.079</v>
          </cell>
          <cell r="I86">
            <v>4254640.4620000003</v>
          </cell>
          <cell r="J86">
            <v>8062795.1959999995</v>
          </cell>
          <cell r="K86">
            <v>12480747.710999999</v>
          </cell>
          <cell r="L86">
            <v>9047574.3900000006</v>
          </cell>
          <cell r="M86">
            <v>3926325.9219999998</v>
          </cell>
          <cell r="N86">
            <v>8479725.8829999994</v>
          </cell>
          <cell r="O86">
            <v>11506463.931</v>
          </cell>
          <cell r="P86">
            <v>660640.09100000001</v>
          </cell>
          <cell r="Q86">
            <v>2868871.6010000003</v>
          </cell>
          <cell r="R86">
            <v>8197806.4450000003</v>
          </cell>
          <cell r="S86">
            <v>11805332.589</v>
          </cell>
          <cell r="T86">
            <v>787722.85200000007</v>
          </cell>
          <cell r="U86">
            <v>3631644.1570000001</v>
          </cell>
          <cell r="V86">
            <v>8631427.3440000005</v>
          </cell>
          <cell r="W86">
            <v>11523880.138</v>
          </cell>
          <cell r="X86">
            <v>741693.16800000006</v>
          </cell>
          <cell r="Y86">
            <v>4254464.085</v>
          </cell>
          <cell r="Z86">
            <v>8464301.3430000003</v>
          </cell>
          <cell r="AD86">
            <v>0</v>
          </cell>
          <cell r="AH86">
            <v>0</v>
          </cell>
          <cell r="AL86">
            <v>0</v>
          </cell>
          <cell r="AP86">
            <v>0</v>
          </cell>
          <cell r="AT86">
            <v>0</v>
          </cell>
          <cell r="AX86">
            <v>0</v>
          </cell>
          <cell r="AZ86">
            <v>72824453.318000004</v>
          </cell>
          <cell r="BA86">
            <v>37655041.392999999</v>
          </cell>
          <cell r="BB86">
            <v>24411661.111000001</v>
          </cell>
          <cell r="BC86">
            <v>51206951.357000001</v>
          </cell>
          <cell r="BE86">
            <v>37988776.659999996</v>
          </cell>
          <cell r="BF86">
            <v>35464985.282000005</v>
          </cell>
          <cell r="BG86">
            <v>13656681.268000001</v>
          </cell>
          <cell r="BH86">
            <v>25913416.225000001</v>
          </cell>
          <cell r="BI86">
            <v>34835676.658</v>
          </cell>
          <cell r="BJ86">
            <v>2190056.111</v>
          </cell>
          <cell r="BK86">
            <v>10754979.843</v>
          </cell>
          <cell r="BL86">
            <v>25293535.131999999</v>
          </cell>
        </row>
        <row r="87">
          <cell r="D87">
            <v>1346260.706175165</v>
          </cell>
          <cell r="E87">
            <v>601911.21352530003</v>
          </cell>
          <cell r="F87">
            <v>945237.53412490385</v>
          </cell>
          <cell r="G87">
            <v>1211490.7388679502</v>
          </cell>
          <cell r="H87">
            <v>1239451.4301652112</v>
          </cell>
          <cell r="I87">
            <v>476229.2886194</v>
          </cell>
          <cell r="J87">
            <v>855190.92127100902</v>
          </cell>
          <cell r="K87">
            <v>1243665.1386099998</v>
          </cell>
          <cell r="L87">
            <v>835218.22412339365</v>
          </cell>
          <cell r="M87">
            <v>458578.21498330001</v>
          </cell>
          <cell r="N87">
            <v>912047.57880386105</v>
          </cell>
          <cell r="O87">
            <v>1147339.2256977139</v>
          </cell>
          <cell r="P87">
            <v>223392.35187068</v>
          </cell>
          <cell r="Q87">
            <v>425565.40706487105</v>
          </cell>
          <cell r="R87">
            <v>891571.34352514613</v>
          </cell>
          <cell r="S87">
            <v>1175401.373995028</v>
          </cell>
          <cell r="T87">
            <v>305850.97449511301</v>
          </cell>
          <cell r="U87">
            <v>489632.47517049999</v>
          </cell>
          <cell r="V87">
            <v>905251.84369689401</v>
          </cell>
          <cell r="W87">
            <v>1138970.365208799</v>
          </cell>
          <cell r="X87">
            <v>288706.68962439999</v>
          </cell>
          <cell r="Y87">
            <v>771395.68928234</v>
          </cell>
          <cell r="Z87">
            <v>876856.87208787201</v>
          </cell>
          <cell r="AD87">
            <v>0</v>
          </cell>
          <cell r="AH87">
            <v>0</v>
          </cell>
          <cell r="AL87">
            <v>0</v>
          </cell>
          <cell r="AP87">
            <v>0</v>
          </cell>
          <cell r="AT87">
            <v>0</v>
          </cell>
          <cell r="AX87">
            <v>0</v>
          </cell>
          <cell r="AZ87">
            <v>7238549.5071663186</v>
          </cell>
          <cell r="BA87">
            <v>4238880.3764539622</v>
          </cell>
          <cell r="BB87">
            <v>3223312.2886457113</v>
          </cell>
          <cell r="BC87">
            <v>5386156.0935096852</v>
          </cell>
          <cell r="BE87">
            <v>3776838.5422647768</v>
          </cell>
          <cell r="BF87">
            <v>3420930.3604637696</v>
          </cell>
          <cell r="BG87">
            <v>1536718.717128</v>
          </cell>
          <cell r="BH87">
            <v>2712476.0341997738</v>
          </cell>
          <cell r="BI87">
            <v>3461710.9649015409</v>
          </cell>
          <cell r="BJ87">
            <v>817950.015990193</v>
          </cell>
          <cell r="BK87">
            <v>1686593.571517711</v>
          </cell>
          <cell r="BL87">
            <v>2673680.0593099124</v>
          </cell>
        </row>
        <row r="88">
          <cell r="D88">
            <v>11725757.02</v>
          </cell>
          <cell r="E88">
            <v>3849028.9990000003</v>
          </cell>
          <cell r="F88">
            <v>7538437.1979999999</v>
          </cell>
          <cell r="G88">
            <v>10119900.239000002</v>
          </cell>
          <cell r="H88">
            <v>10614924.353</v>
          </cell>
          <cell r="I88">
            <v>2759517.3289999999</v>
          </cell>
          <cell r="J88">
            <v>6436830.9350000005</v>
          </cell>
          <cell r="K88">
            <v>10340083.589000002</v>
          </cell>
          <cell r="L88">
            <v>6422490.7369999997</v>
          </cell>
          <cell r="M88">
            <v>2336934.6780000003</v>
          </cell>
          <cell r="N88">
            <v>6879401.6889999993</v>
          </cell>
          <cell r="O88">
            <v>9584483.2540000007</v>
          </cell>
          <cell r="P88">
            <v>330058.16599999997</v>
          </cell>
          <cell r="Q88">
            <v>1784486.6850000001</v>
          </cell>
          <cell r="R88">
            <v>6655451.4849999994</v>
          </cell>
          <cell r="S88">
            <v>9872531.1350000016</v>
          </cell>
          <cell r="T88">
            <v>345013.36200000002</v>
          </cell>
          <cell r="U88">
            <v>2526050.34</v>
          </cell>
          <cell r="V88">
            <v>6871167.9780000001</v>
          </cell>
          <cell r="W88">
            <v>9567731.2719999999</v>
          </cell>
          <cell r="X88">
            <v>455648.02100000001</v>
          </cell>
          <cell r="Y88">
            <v>3073838.4799999995</v>
          </cell>
          <cell r="Z88">
            <v>6768112.1229999997</v>
          </cell>
          <cell r="AD88">
            <v>0</v>
          </cell>
          <cell r="AH88">
            <v>0</v>
          </cell>
          <cell r="AL88">
            <v>0</v>
          </cell>
          <cell r="AP88">
            <v>0</v>
          </cell>
          <cell r="AT88">
            <v>0</v>
          </cell>
          <cell r="AX88">
            <v>0</v>
          </cell>
          <cell r="AZ88">
            <v>61003316.113000005</v>
          </cell>
          <cell r="BA88">
            <v>29893891.659000002</v>
          </cell>
          <cell r="BB88">
            <v>16329856.511</v>
          </cell>
          <cell r="BC88">
            <v>41149401.407999992</v>
          </cell>
          <cell r="BE88">
            <v>31978570.452</v>
          </cell>
          <cell r="BF88">
            <v>28763172.109999999</v>
          </cell>
          <cell r="BG88">
            <v>8945481.006000001</v>
          </cell>
          <cell r="BH88">
            <v>20854669.822000001</v>
          </cell>
          <cell r="BI88">
            <v>29024745.661000002</v>
          </cell>
          <cell r="BJ88">
            <v>1130719.5489999999</v>
          </cell>
          <cell r="BK88">
            <v>7384375.5049999999</v>
          </cell>
          <cell r="BL88">
            <v>20294731.585999999</v>
          </cell>
        </row>
        <row r="89">
          <cell r="D89">
            <v>7251921</v>
          </cell>
          <cell r="E89">
            <v>3065226</v>
          </cell>
          <cell r="F89">
            <v>5202212</v>
          </cell>
          <cell r="G89">
            <v>5712503</v>
          </cell>
          <cell r="H89">
            <v>6513946</v>
          </cell>
          <cell r="I89">
            <v>2292030</v>
          </cell>
          <cell r="J89">
            <v>4381395</v>
          </cell>
          <cell r="K89">
            <v>5876831.0000000019</v>
          </cell>
          <cell r="L89">
            <v>3887819.9999999995</v>
          </cell>
          <cell r="M89">
            <v>1985313</v>
          </cell>
          <cell r="N89">
            <v>4766775</v>
          </cell>
          <cell r="O89">
            <v>5564807</v>
          </cell>
          <cell r="P89">
            <v>175558</v>
          </cell>
          <cell r="Q89">
            <v>1583447</v>
          </cell>
          <cell r="R89">
            <v>4571118</v>
          </cell>
          <cell r="S89">
            <v>5741320</v>
          </cell>
          <cell r="T89">
            <v>191126</v>
          </cell>
          <cell r="U89">
            <v>2175648</v>
          </cell>
          <cell r="V89">
            <v>4743607</v>
          </cell>
          <cell r="W89">
            <v>5568998</v>
          </cell>
          <cell r="X89">
            <v>273327</v>
          </cell>
          <cell r="Y89">
            <v>2660897</v>
          </cell>
          <cell r="Z89">
            <v>4659578</v>
          </cell>
          <cell r="AD89">
            <v>0</v>
          </cell>
          <cell r="AH89">
            <v>0</v>
          </cell>
          <cell r="AL89">
            <v>0</v>
          </cell>
          <cell r="AP89">
            <v>0</v>
          </cell>
          <cell r="AT89">
            <v>0</v>
          </cell>
          <cell r="AX89">
            <v>0</v>
          </cell>
          <cell r="AZ89">
            <v>35048658</v>
          </cell>
          <cell r="BA89">
            <v>18293698</v>
          </cell>
          <cell r="BB89">
            <v>13762561</v>
          </cell>
          <cell r="BC89">
            <v>28324685</v>
          </cell>
          <cell r="BE89">
            <v>18173533</v>
          </cell>
          <cell r="BF89">
            <v>17653687</v>
          </cell>
          <cell r="BG89">
            <v>7342569</v>
          </cell>
          <cell r="BH89">
            <v>14350382</v>
          </cell>
          <cell r="BI89">
            <v>16875125</v>
          </cell>
          <cell r="BJ89">
            <v>640011</v>
          </cell>
          <cell r="BK89">
            <v>6419992</v>
          </cell>
          <cell r="BL89">
            <v>13974303</v>
          </cell>
        </row>
        <row r="90">
          <cell r="D90">
            <v>0.72592663558176962</v>
          </cell>
          <cell r="E90">
            <v>0.71987250484382581</v>
          </cell>
          <cell r="F90">
            <v>0.71233917550376968</v>
          </cell>
          <cell r="G90">
            <v>0.67049549626006721</v>
          </cell>
          <cell r="H90">
            <v>0.7295074973116179</v>
          </cell>
          <cell r="I90">
            <v>0.71119029754015539</v>
          </cell>
          <cell r="J90">
            <v>0.73251361692728412</v>
          </cell>
          <cell r="K90">
            <v>0.6562069008985012</v>
          </cell>
          <cell r="L90">
            <v>0.59858089056848662</v>
          </cell>
          <cell r="M90">
            <v>0.67062456413617655</v>
          </cell>
          <cell r="N90">
            <v>0.74443021696432221</v>
          </cell>
          <cell r="O90">
            <v>0.65211715391328373</v>
          </cell>
          <cell r="P90">
            <v>0.61192416634444724</v>
          </cell>
          <cell r="Q90">
            <v>0.77040527822378435</v>
          </cell>
          <cell r="R90">
            <v>0.73254450582066533</v>
          </cell>
          <cell r="S90">
            <v>0.73677452918875064</v>
          </cell>
          <cell r="T90">
            <v>0.56814066399120489</v>
          </cell>
          <cell r="U90">
            <v>0.78655970931641161</v>
          </cell>
          <cell r="V90">
            <v>0.68132661088886159</v>
          </cell>
          <cell r="W90">
            <v>0.65156155958678119</v>
          </cell>
          <cell r="X90">
            <v>0.5996802829226533</v>
          </cell>
          <cell r="Y90">
            <v>1.1160725037864434</v>
          </cell>
          <cell r="Z90">
            <v>0.67978565092048204</v>
          </cell>
          <cell r="AD90" t="e">
            <v>#DIV/0!</v>
          </cell>
          <cell r="AH90" t="e">
            <v>#DIV/0!</v>
          </cell>
          <cell r="AL90" t="e">
            <v>#DIV/0!</v>
          </cell>
          <cell r="AP90" t="e">
            <v>#DIV/0!</v>
          </cell>
          <cell r="AT90" t="e">
            <v>#DIV/0!</v>
          </cell>
          <cell r="AX90" t="e">
            <v>#DIV/0!</v>
          </cell>
          <cell r="AZ90">
            <v>0.68438879965232691</v>
          </cell>
          <cell r="BA90">
            <v>0.66925466813918877</v>
          </cell>
          <cell r="BB90">
            <v>0.79477539614320325</v>
          </cell>
          <cell r="BC90">
            <v>0.71290375197984102</v>
          </cell>
          <cell r="BE90">
            <v>0.6899772304784364</v>
          </cell>
          <cell r="BF90">
            <v>0.69125113997804333</v>
          </cell>
          <cell r="BG90">
            <v>0.70183700523499315</v>
          </cell>
          <cell r="BH90">
            <v>0.72924156282925068</v>
          </cell>
          <cell r="BI90">
            <v>0.67839399916650578</v>
          </cell>
          <cell r="BJ90">
            <v>0.59064736360802994</v>
          </cell>
          <cell r="BK90">
            <v>0.90382588055628232</v>
          </cell>
          <cell r="BL90">
            <v>0.6970603192528928</v>
          </cell>
        </row>
        <row r="91">
          <cell r="D91">
            <v>0.69096386729741577</v>
          </cell>
          <cell r="E91">
            <v>1.0153840553979578</v>
          </cell>
          <cell r="F91">
            <v>0.81464919064982444</v>
          </cell>
          <cell r="G91">
            <v>0.72695787459808259</v>
          </cell>
          <cell r="H91">
            <v>0.75063801511760286</v>
          </cell>
          <cell r="I91">
            <v>1.2528529328497746</v>
          </cell>
          <cell r="J91">
            <v>0.92053110159971074</v>
          </cell>
          <cell r="K91">
            <v>0.70329348861177376</v>
          </cell>
          <cell r="L91">
            <v>0.65205509292878805</v>
          </cell>
          <cell r="M91">
            <v>1.2227285395778746</v>
          </cell>
          <cell r="N91">
            <v>0.90994042168563249</v>
          </cell>
          <cell r="O91">
            <v>0.73169102884705262</v>
          </cell>
          <cell r="P91">
            <v>1.2922682231039029</v>
          </cell>
          <cell r="Q91">
            <v>1.3670188618561048</v>
          </cell>
          <cell r="R91">
            <v>0.88095088033662339</v>
          </cell>
          <cell r="S91">
            <v>0.79908121206283877</v>
          </cell>
          <cell r="T91">
            <v>0.9209499288687657</v>
          </cell>
          <cell r="U91">
            <v>1.1524566632927447</v>
          </cell>
          <cell r="V91">
            <v>0.82440875917517464</v>
          </cell>
          <cell r="W91">
            <v>0.60665412125220985</v>
          </cell>
          <cell r="X91">
            <v>3.6532769602799435</v>
          </cell>
          <cell r="Y91">
            <v>1.9622541885228715</v>
          </cell>
          <cell r="Z91">
            <v>0.76294355053742779</v>
          </cell>
          <cell r="AD91" t="e">
            <v>#DIV/0!</v>
          </cell>
          <cell r="AH91" t="e">
            <v>#DIV/0!</v>
          </cell>
          <cell r="AL91" t="e">
            <v>#DIV/0!</v>
          </cell>
          <cell r="AP91" t="e">
            <v>#DIV/0!</v>
          </cell>
          <cell r="AT91" t="e">
            <v>#DIV/0!</v>
          </cell>
          <cell r="AX91" t="e">
            <v>#DIV/0!</v>
          </cell>
          <cell r="AZ91">
            <v>0.7055175031064117</v>
          </cell>
          <cell r="BA91">
            <v>0.87735868460674393</v>
          </cell>
          <cell r="BB91">
            <v>1.3113526378982778</v>
          </cell>
          <cell r="BC91">
            <v>0.84870939664534317</v>
          </cell>
          <cell r="BE91">
            <v>0.70428864025205506</v>
          </cell>
          <cell r="BF91">
            <v>0.69867041497885141</v>
          </cell>
          <cell r="BG91">
            <v>1.1534329965960837</v>
          </cell>
          <cell r="BH91">
            <v>0.87874290492822471</v>
          </cell>
          <cell r="BI91">
            <v>0.70663809065324978</v>
          </cell>
          <cell r="BJ91">
            <v>1.6840919066697064</v>
          </cell>
          <cell r="BK91">
            <v>1.4972898102558017</v>
          </cell>
          <cell r="BL91">
            <v>0.8209367636841497</v>
          </cell>
        </row>
        <row r="92">
          <cell r="D92">
            <v>70.797111314103134</v>
          </cell>
          <cell r="E92">
            <v>54.594027468919052</v>
          </cell>
          <cell r="F92">
            <v>71.54128214003137</v>
          </cell>
          <cell r="G92">
            <v>63.121470685401157</v>
          </cell>
          <cell r="H92">
            <v>62.907840200814704</v>
          </cell>
          <cell r="I92">
            <v>53.85451674058671</v>
          </cell>
          <cell r="J92">
            <v>68.160057836935053</v>
          </cell>
          <cell r="K92">
            <v>61.768665710154458</v>
          </cell>
          <cell r="L92">
            <v>63.847451439809824</v>
          </cell>
          <cell r="M92">
            <v>56.069304976950406</v>
          </cell>
          <cell r="N92">
            <v>72.123773621940103</v>
          </cell>
          <cell r="O92">
            <v>62.799516411029266</v>
          </cell>
          <cell r="P92">
            <v>72.021219676180607</v>
          </cell>
          <cell r="Q92">
            <v>55.945841528530728</v>
          </cell>
          <cell r="R92">
            <v>80.37074396842813</v>
          </cell>
          <cell r="S92">
            <v>64.006944478222508</v>
          </cell>
          <cell r="T92">
            <v>57.843014454722386</v>
          </cell>
          <cell r="U92">
            <v>61.164569226346167</v>
          </cell>
          <cell r="V92">
            <v>79.393724441976872</v>
          </cell>
          <cell r="W92">
            <v>71.650040920766514</v>
          </cell>
          <cell r="X92">
            <v>35.978064868793076</v>
          </cell>
          <cell r="Y92">
            <v>37.37193385220057</v>
          </cell>
          <cell r="Z92">
            <v>84.499341240034013</v>
          </cell>
          <cell r="AD92" t="e">
            <v>#DIV/0!</v>
          </cell>
          <cell r="AH92" t="e">
            <v>#DIV/0!</v>
          </cell>
          <cell r="AL92" t="e">
            <v>#DIV/0!</v>
          </cell>
          <cell r="AP92" t="e">
            <v>#DIV/0!</v>
          </cell>
          <cell r="AT92" t="e">
            <v>#DIV/0!</v>
          </cell>
          <cell r="AX92" t="e">
            <v>#DIV/0!</v>
          </cell>
          <cell r="AZ92">
            <v>65.2121395235514</v>
          </cell>
          <cell r="BA92">
            <v>63.879244642756639</v>
          </cell>
          <cell r="BB92">
            <v>51.749636800960239</v>
          </cell>
          <cell r="BC92">
            <v>75.993912808296685</v>
          </cell>
          <cell r="BE92">
            <v>64.378666282822522</v>
          </cell>
          <cell r="BF92">
            <v>66.241961310791524</v>
          </cell>
          <cell r="BG92">
            <v>54.805031248949732</v>
          </cell>
          <cell r="BH92">
            <v>70.671105832008635</v>
          </cell>
          <cell r="BI92">
            <v>66.121485766333606</v>
          </cell>
          <cell r="BJ92">
            <v>53.997602702729644</v>
          </cell>
          <cell r="BK92">
            <v>48.965752220984498</v>
          </cell>
          <cell r="BL92">
            <v>81.393955460213377</v>
          </cell>
        </row>
        <row r="93">
          <cell r="D93">
            <v>51.393508825154925</v>
          </cell>
          <cell r="E93">
            <v>39.30073930356339</v>
          </cell>
          <cell r="F93">
            <v>50.961657934112502</v>
          </cell>
          <cell r="G93">
            <v>42.322661811873331</v>
          </cell>
          <cell r="H93">
            <v>45.89174106617552</v>
          </cell>
          <cell r="I93">
            <v>38.30080978461914</v>
          </cell>
          <cell r="J93">
            <v>49.928170496106169</v>
          </cell>
          <cell r="K93">
            <v>40.533024698295975</v>
          </cell>
          <cell r="L93">
            <v>38.217864343369563</v>
          </cell>
          <cell r="M93">
            <v>37.601453211585721</v>
          </cell>
          <cell r="N93">
            <v>53.691116445666523</v>
          </cell>
          <cell r="O93">
            <v>40.95264190909095</v>
          </cell>
          <cell r="P93">
            <v>44.071524809457117</v>
          </cell>
          <cell r="Q93">
            <v>43.100971608251463</v>
          </cell>
          <cell r="R93">
            <v>58.875146922791401</v>
          </cell>
          <cell r="S93">
            <v>47.158686382752897</v>
          </cell>
          <cell r="T93">
            <v>32.862968639558844</v>
          </cell>
          <cell r="U93">
            <v>48.109585791138372</v>
          </cell>
          <cell r="V93">
            <v>54.093057199896279</v>
          </cell>
          <cell r="W93">
            <v>46.684412406791317</v>
          </cell>
          <cell r="X93">
            <v>21.5753361195274</v>
          </cell>
          <cell r="Y93">
            <v>41.709787785766835</v>
          </cell>
          <cell r="Z93">
            <v>57.441439687208451</v>
          </cell>
          <cell r="AD93" t="e">
            <v>#DIV/0!</v>
          </cell>
          <cell r="AH93" t="e">
            <v>#DIV/0!</v>
          </cell>
          <cell r="AL93" t="e">
            <v>#DIV/0!</v>
          </cell>
          <cell r="AP93" t="e">
            <v>#DIV/0!</v>
          </cell>
          <cell r="AT93" t="e">
            <v>#DIV/0!</v>
          </cell>
          <cell r="AX93" t="e">
            <v>#DIV/0!</v>
          </cell>
          <cell r="AZ93">
            <v>44.630457891283406</v>
          </cell>
          <cell r="BA93">
            <v>42.751482674370145</v>
          </cell>
          <cell r="BB93">
            <v>41.129338088750067</v>
          </cell>
          <cell r="BC93">
            <v>54.176345568663599</v>
          </cell>
          <cell r="BE93">
            <v>44.41981386371738</v>
          </cell>
          <cell r="BF93">
            <v>45.789831270466088</v>
          </cell>
          <cell r="BG93">
            <v>38.4641990035731</v>
          </cell>
          <cell r="BH93">
            <v>51.536307663805346</v>
          </cell>
          <cell r="BI93">
            <v>44.856419159854241</v>
          </cell>
          <cell r="BJ93">
            <v>31.8935416775211</v>
          </cell>
          <cell r="BK93">
            <v>44.256514118232047</v>
          </cell>
          <cell r="BL93">
            <v>56.736496578352067</v>
          </cell>
        </row>
        <row r="94">
          <cell r="D94">
            <v>48.91824582707833</v>
          </cell>
          <cell r="E94">
            <v>55.433905011898531</v>
          </cell>
          <cell r="F94">
            <v>58.281047593427296</v>
          </cell>
          <cell r="G94">
            <v>45.886650170964401</v>
          </cell>
          <cell r="H94">
            <v>47.221016303674901</v>
          </cell>
          <cell r="I94">
            <v>67.471789245651337</v>
          </cell>
          <cell r="J94">
            <v>62.743453125733829</v>
          </cell>
          <cell r="K94">
            <v>43.441500394188971</v>
          </cell>
          <cell r="L94">
            <v>41.632055881851471</v>
          </cell>
          <cell r="M94">
            <v>68.557539389613027</v>
          </cell>
          <cell r="N94">
            <v>65.628336983107275</v>
          </cell>
          <cell r="O94">
            <v>45.949842773883361</v>
          </cell>
          <cell r="P94">
            <v>93.070733576713764</v>
          </cell>
          <cell r="Q94">
            <v>76.479020611914081</v>
          </cell>
          <cell r="R94">
            <v>70.802677652296126</v>
          </cell>
          <cell r="S94">
            <v>51.146746774096876</v>
          </cell>
          <cell r="T94">
            <v>53.270520047631564</v>
          </cell>
          <cell r="U94">
            <v>70.48951536233298</v>
          </cell>
          <cell r="V94">
            <v>65.4528818535059</v>
          </cell>
          <cell r="W94">
            <v>43.466792612472489</v>
          </cell>
          <cell r="X94">
            <v>131.43783546061897</v>
          </cell>
          <cell r="Y94">
            <v>73.333233734680263</v>
          </cell>
          <cell r="Z94">
            <v>64.468227423745233</v>
          </cell>
          <cell r="AD94" t="e">
            <v>#DIV/0!</v>
          </cell>
          <cell r="AH94" t="e">
            <v>#DIV/0!</v>
          </cell>
          <cell r="AL94" t="e">
            <v>#DIV/0!</v>
          </cell>
          <cell r="AP94" t="e">
            <v>#DIV/0!</v>
          </cell>
          <cell r="AT94" t="e">
            <v>#DIV/0!</v>
          </cell>
          <cell r="AX94" t="e">
            <v>#DIV/0!</v>
          </cell>
          <cell r="AZ94">
            <v>46.00830584888292</v>
          </cell>
          <cell r="BA94">
            <v>56.045010053441359</v>
          </cell>
          <cell r="BB94">
            <v>67.862022729217003</v>
          </cell>
          <cell r="BC94">
            <v>64.496747888248294</v>
          </cell>
          <cell r="BE94">
            <v>45.341163337569903</v>
          </cell>
          <cell r="BF94">
            <v>46.281298598023746</v>
          </cell>
          <cell r="BG94">
            <v>63.213931422018099</v>
          </cell>
          <cell r="BH94">
            <v>62.101732833309264</v>
          </cell>
          <cell r="BI94">
            <v>46.723960453078014</v>
          </cell>
          <cell r="BJ94">
            <v>90.936925691233256</v>
          </cell>
          <cell r="BK94">
            <v>73.315921851990467</v>
          </cell>
          <cell r="BL94">
            <v>66.819290378959394</v>
          </cell>
        </row>
        <row r="95">
          <cell r="D95">
            <v>2.3099787681995786E-2</v>
          </cell>
          <cell r="E95">
            <v>1.5559715398724951E-2</v>
          </cell>
          <cell r="F95">
            <v>1.4872418906129579E-2</v>
          </cell>
          <cell r="G95">
            <v>2.7367818545297785E-2</v>
          </cell>
          <cell r="H95">
            <v>3.2031267645554092E-2</v>
          </cell>
          <cell r="I95">
            <v>1.8198585371229457E-2</v>
          </cell>
          <cell r="J95">
            <v>1.5915344590984856E-2</v>
          </cell>
          <cell r="K95">
            <v>1.824432439429895E-2</v>
          </cell>
          <cell r="L95">
            <v>1.7113260069287782E-2</v>
          </cell>
          <cell r="M95">
            <v>2.0120883846427434E-2</v>
          </cell>
          <cell r="N95">
            <v>1.4023977876689348E-2</v>
          </cell>
          <cell r="O95">
            <v>2.115965594691992E-2</v>
          </cell>
          <cell r="P95">
            <v>-4.5666571171617083E-3</v>
          </cell>
          <cell r="Q95">
            <v>1.7819564566113309E-2</v>
          </cell>
          <cell r="R95">
            <v>1.7604505403272717E-2</v>
          </cell>
          <cell r="S95">
            <v>2.3072003716462147E-2</v>
          </cell>
          <cell r="T95">
            <v>2.222906679544779E-2</v>
          </cell>
          <cell r="U95">
            <v>1.8933253307197181E-2</v>
          </cell>
          <cell r="V95">
            <v>1.8825151140402948E-2</v>
          </cell>
          <cell r="W95">
            <v>2.4633718206310634E-2</v>
          </cell>
          <cell r="X95">
            <v>2.5796660739687446E-2</v>
          </cell>
          <cell r="Y95">
            <v>1.8560180439210306E-2</v>
          </cell>
          <cell r="Z95">
            <v>2.1333074116768842E-2</v>
          </cell>
          <cell r="AD95" t="e">
            <v>#DIV/0!</v>
          </cell>
          <cell r="AH95" t="e">
            <v>#DIV/0!</v>
          </cell>
          <cell r="AL95" t="e">
            <v>#DIV/0!</v>
          </cell>
          <cell r="AP95" t="e">
            <v>#DIV/0!</v>
          </cell>
          <cell r="AT95" t="e">
            <v>#DIV/0!</v>
          </cell>
          <cell r="AX95" t="e">
            <v>#DIV/0!</v>
          </cell>
          <cell r="AZ95">
            <v>2.261936027739354E-2</v>
          </cell>
          <cell r="BA95">
            <v>2.2895349999466109E-2</v>
          </cell>
          <cell r="BB95">
            <v>1.8115346119470858E-2</v>
          </cell>
          <cell r="BC95">
            <v>1.7226437006373618E-2</v>
          </cell>
          <cell r="BE95">
            <v>2.2235786044615603E-2</v>
          </cell>
          <cell r="BF95">
            <v>2.4764139940140588E-2</v>
          </cell>
          <cell r="BG95">
            <v>1.7755851660443418E-2</v>
          </cell>
          <cell r="BH95">
            <v>1.4898404522027654E-2</v>
          </cell>
          <cell r="BI95">
            <v>2.3026821620380583E-2</v>
          </cell>
          <cell r="BJ95">
            <v>1.3307159382354012E-2</v>
          </cell>
          <cell r="BK95">
            <v>1.8481955978742769E-2</v>
          </cell>
          <cell r="BL95">
            <v>1.9277104473024186E-2</v>
          </cell>
        </row>
        <row r="98">
          <cell r="D98">
            <v>13757747.813000001</v>
          </cell>
          <cell r="E98">
            <v>5475714.8839999996</v>
          </cell>
          <cell r="F98">
            <v>9370895.1459999997</v>
          </cell>
          <cell r="G98">
            <v>12033357.179000001</v>
          </cell>
          <cell r="H98">
            <v>12659663.079</v>
          </cell>
          <cell r="I98">
            <v>4254640.4620000003</v>
          </cell>
          <cell r="J98">
            <v>8062795.1959999995</v>
          </cell>
          <cell r="K98">
            <v>12480747.710999999</v>
          </cell>
          <cell r="L98">
            <v>9047574.3900000006</v>
          </cell>
          <cell r="M98">
            <v>3926325.9219999998</v>
          </cell>
          <cell r="N98">
            <v>8479725.8829999994</v>
          </cell>
          <cell r="O98">
            <v>11506463.931</v>
          </cell>
          <cell r="P98">
            <v>660640.09100000001</v>
          </cell>
          <cell r="Q98">
            <v>2868871.6010000003</v>
          </cell>
          <cell r="R98">
            <v>8197806.4450000003</v>
          </cell>
          <cell r="S98">
            <v>11805332.589</v>
          </cell>
          <cell r="T98">
            <v>787722.85200000007</v>
          </cell>
          <cell r="U98">
            <v>3631644.1570000001</v>
          </cell>
          <cell r="V98">
            <v>8631427.3440000005</v>
          </cell>
          <cell r="W98">
            <v>11523880.138</v>
          </cell>
          <cell r="X98">
            <v>741693.16800000006</v>
          </cell>
          <cell r="Y98">
            <v>4254464.085</v>
          </cell>
          <cell r="Z98">
            <v>8464301.3430000003</v>
          </cell>
          <cell r="AD98">
            <v>0</v>
          </cell>
          <cell r="AH98">
            <v>0</v>
          </cell>
          <cell r="AL98">
            <v>0</v>
          </cell>
          <cell r="AP98">
            <v>0</v>
          </cell>
          <cell r="AT98">
            <v>0</v>
          </cell>
          <cell r="AX98">
            <v>0</v>
          </cell>
          <cell r="AZ98">
            <v>72824453.318000004</v>
          </cell>
          <cell r="BA98">
            <v>37655041.392999999</v>
          </cell>
          <cell r="BB98">
            <v>24411661.111000001</v>
          </cell>
          <cell r="BC98">
            <v>51206951.357000001</v>
          </cell>
          <cell r="BE98">
            <v>37988776.659999996</v>
          </cell>
          <cell r="BF98">
            <v>35464985.282000005</v>
          </cell>
          <cell r="BG98">
            <v>13656681.268000001</v>
          </cell>
          <cell r="BH98">
            <v>25913416.225000001</v>
          </cell>
          <cell r="BI98">
            <v>34835676.658</v>
          </cell>
          <cell r="BJ98">
            <v>2190056.111</v>
          </cell>
          <cell r="BK98">
            <v>10754979.843</v>
          </cell>
          <cell r="BL98">
            <v>25293535.131999999</v>
          </cell>
        </row>
        <row r="99">
          <cell r="D99">
            <v>11725757.02</v>
          </cell>
          <cell r="E99">
            <v>3849028.9990000003</v>
          </cell>
          <cell r="F99">
            <v>7538437.1979999999</v>
          </cell>
          <cell r="G99">
            <v>10119900.239000002</v>
          </cell>
          <cell r="H99">
            <v>10614924.353</v>
          </cell>
          <cell r="I99">
            <v>2759517.3289999999</v>
          </cell>
          <cell r="J99">
            <v>6436830.9350000005</v>
          </cell>
          <cell r="K99">
            <v>10340083.589000002</v>
          </cell>
          <cell r="L99">
            <v>6422490.7369999997</v>
          </cell>
          <cell r="M99">
            <v>2336934.6780000003</v>
          </cell>
          <cell r="N99">
            <v>6879401.6889999993</v>
          </cell>
          <cell r="O99">
            <v>9584483.2540000007</v>
          </cell>
          <cell r="P99">
            <v>330058.16599999997</v>
          </cell>
          <cell r="Q99">
            <v>1784486.6850000001</v>
          </cell>
          <cell r="R99">
            <v>6655451.4849999994</v>
          </cell>
          <cell r="S99">
            <v>9872531.1350000016</v>
          </cell>
          <cell r="T99">
            <v>345013.36200000002</v>
          </cell>
          <cell r="U99">
            <v>2526050.34</v>
          </cell>
          <cell r="V99">
            <v>6871167.9780000001</v>
          </cell>
          <cell r="W99">
            <v>9567731.2719999999</v>
          </cell>
          <cell r="X99">
            <v>455648.02100000001</v>
          </cell>
          <cell r="Y99">
            <v>3073838.4799999995</v>
          </cell>
          <cell r="Z99">
            <v>6768112.1229999997</v>
          </cell>
          <cell r="AD99">
            <v>0</v>
          </cell>
          <cell r="AH99">
            <v>0</v>
          </cell>
          <cell r="AL99">
            <v>0</v>
          </cell>
          <cell r="AP99">
            <v>0</v>
          </cell>
          <cell r="AT99">
            <v>0</v>
          </cell>
          <cell r="AX99">
            <v>0</v>
          </cell>
          <cell r="AZ99">
            <v>61003316.113000005</v>
          </cell>
          <cell r="BA99">
            <v>29893891.659000002</v>
          </cell>
          <cell r="BB99">
            <v>16329856.511</v>
          </cell>
          <cell r="BC99">
            <v>41149401.407999992</v>
          </cell>
          <cell r="BE99">
            <v>31978570.452</v>
          </cell>
          <cell r="BF99">
            <v>28763172.109999999</v>
          </cell>
          <cell r="BG99">
            <v>8945481.006000001</v>
          </cell>
          <cell r="BH99">
            <v>20854669.822000001</v>
          </cell>
          <cell r="BI99">
            <v>29024745.661000002</v>
          </cell>
          <cell r="BJ99">
            <v>1130719.5489999999</v>
          </cell>
          <cell r="BK99">
            <v>7384375.5049999999</v>
          </cell>
          <cell r="BL99">
            <v>20294731.585999999</v>
          </cell>
        </row>
        <row r="100">
          <cell r="D100">
            <v>0.85230207584704176</v>
          </cell>
          <cell r="E100">
            <v>0.70292721234387789</v>
          </cell>
          <cell r="F100">
            <v>0.80445219806112211</v>
          </cell>
          <cell r="G100">
            <v>0.84098727299981868</v>
          </cell>
          <cell r="H100">
            <v>0.83848395385878505</v>
          </cell>
          <cell r="I100">
            <v>0.64859001686427331</v>
          </cell>
          <cell r="J100">
            <v>0.79833739770462608</v>
          </cell>
          <cell r="K100">
            <v>0.82848270219313003</v>
          </cell>
          <cell r="L100">
            <v>0.70985774309836869</v>
          </cell>
          <cell r="M100">
            <v>0.59519630423589687</v>
          </cell>
          <cell r="N100">
            <v>0.81127642378059639</v>
          </cell>
          <cell r="O100">
            <v>0.83296513259630367</v>
          </cell>
          <cell r="P100">
            <v>0.49960359732391713</v>
          </cell>
          <cell r="Q100">
            <v>0.62201692274341691</v>
          </cell>
          <cell r="R100">
            <v>0.81185760235401594</v>
          </cell>
          <cell r="S100">
            <v>0.83627725526335883</v>
          </cell>
          <cell r="T100">
            <v>0.43798826087630116</v>
          </cell>
          <cell r="U100">
            <v>0.69556658934522364</v>
          </cell>
          <cell r="V100">
            <v>0.79606393058227887</v>
          </cell>
          <cell r="W100">
            <v>0.83025258484339848</v>
          </cell>
          <cell r="X100">
            <v>0.61433493074861378</v>
          </cell>
          <cell r="Y100">
            <v>0.72249722140973238</v>
          </cell>
          <cell r="Z100">
            <v>0.79960670688990132</v>
          </cell>
          <cell r="AD100">
            <v>0</v>
          </cell>
          <cell r="AH100">
            <v>0</v>
          </cell>
          <cell r="AL100">
            <v>0</v>
          </cell>
          <cell r="AP100">
            <v>0</v>
          </cell>
          <cell r="AT100">
            <v>0</v>
          </cell>
          <cell r="AX100">
            <v>0</v>
          </cell>
          <cell r="AZ100">
            <v>0.83767626578148069</v>
          </cell>
          <cell r="BA100">
            <v>0.79388816352641745</v>
          </cell>
          <cell r="BB100">
            <v>0.66893671990398451</v>
          </cell>
          <cell r="BC100">
            <v>0.80359014386773997</v>
          </cell>
          <cell r="BE100">
            <v>0.84178995123240175</v>
          </cell>
          <cell r="BF100">
            <v>0.8110301437118751</v>
          </cell>
          <cell r="BG100">
            <v>0.65502597816065544</v>
          </cell>
          <cell r="BH100">
            <v>0.80478272879669299</v>
          </cell>
          <cell r="BI100">
            <v>0.83319023614643872</v>
          </cell>
          <cell r="BJ100">
            <v>0.51629706806174147</v>
          </cell>
          <cell r="BK100">
            <v>0.68660058994031525</v>
          </cell>
          <cell r="BL100">
            <v>0.80236833167397836</v>
          </cell>
        </row>
        <row r="101">
          <cell r="D101">
            <v>7.3598181213280141</v>
          </cell>
          <cell r="E101">
            <v>5.4561333795310611</v>
          </cell>
          <cell r="F101">
            <v>7.1531342172411598</v>
          </cell>
          <cell r="G101">
            <v>6.7060572952584234</v>
          </cell>
          <cell r="H101">
            <v>6.5759762566252791</v>
          </cell>
          <cell r="I101">
            <v>5.3862482561845431</v>
          </cell>
          <cell r="J101">
            <v>6.8585604553085311</v>
          </cell>
          <cell r="K101">
            <v>6.5518800612931294</v>
          </cell>
          <cell r="L101">
            <v>7.0482416585936738</v>
          </cell>
          <cell r="M101">
            <v>5.9195582601481158</v>
          </cell>
          <cell r="N101">
            <v>7.3484629261411136</v>
          </cell>
          <cell r="O101">
            <v>6.5443552924967179</v>
          </cell>
          <cell r="P101">
            <v>21.153750383715124</v>
          </cell>
          <cell r="Q101">
            <v>5.7158117694861055</v>
          </cell>
          <cell r="R101">
            <v>8.3586766725455135</v>
          </cell>
          <cell r="S101">
            <v>6.6641084707488476</v>
          </cell>
          <cell r="T101">
            <v>13.981116726303341</v>
          </cell>
          <cell r="U101">
            <v>6.5178487431704806</v>
          </cell>
          <cell r="V101">
            <v>8.1026433525290429</v>
          </cell>
          <cell r="W101">
            <v>7.6770134187158598</v>
          </cell>
          <cell r="X101">
            <v>1.0732559249138722</v>
          </cell>
          <cell r="Y101">
            <v>6.1502891620012976</v>
          </cell>
          <cell r="Z101">
            <v>8.8699954223097102</v>
          </cell>
          <cell r="AD101" t="e">
            <v>#DIV/0!</v>
          </cell>
          <cell r="AH101" t="e">
            <v>#DIV/0!</v>
          </cell>
          <cell r="AL101" t="e">
            <v>#DIV/0!</v>
          </cell>
          <cell r="AP101" t="e">
            <v>#DIV/0!</v>
          </cell>
          <cell r="AT101" t="e">
            <v>#DIV/0!</v>
          </cell>
          <cell r="AX101" t="e">
            <v>#DIV/0!</v>
          </cell>
          <cell r="AZ101">
            <v>6.8646379595589488</v>
          </cell>
          <cell r="BA101">
            <v>7.1474422198073277</v>
          </cell>
          <cell r="BB101">
            <v>5.8339141824992655</v>
          </cell>
          <cell r="BC101">
            <v>7.7756268294087008</v>
          </cell>
          <cell r="BE101">
            <v>6.7794836651072776</v>
          </cell>
          <cell r="BF101">
            <v>7.0009731717918662</v>
          </cell>
          <cell r="BG101">
            <v>5.5556411046775267</v>
          </cell>
          <cell r="BH101">
            <v>7.1266472549326974</v>
          </cell>
          <cell r="BI101">
            <v>6.9584583373916526</v>
          </cell>
          <cell r="BJ101">
            <v>10.873312565449144</v>
          </cell>
          <cell r="BK101">
            <v>6.1710160173734536</v>
          </cell>
          <cell r="BL101">
            <v>8.4425119611270958</v>
          </cell>
        </row>
        <row r="102">
          <cell r="D102">
            <v>7251921</v>
          </cell>
          <cell r="E102">
            <v>3065226</v>
          </cell>
          <cell r="F102">
            <v>5202212</v>
          </cell>
          <cell r="G102">
            <v>5712503</v>
          </cell>
          <cell r="H102">
            <v>6513946</v>
          </cell>
          <cell r="I102">
            <v>2292030</v>
          </cell>
          <cell r="J102">
            <v>4381395</v>
          </cell>
          <cell r="K102">
            <v>5876831.0000000019</v>
          </cell>
          <cell r="L102">
            <v>3887819.9999999995</v>
          </cell>
          <cell r="M102">
            <v>1985313</v>
          </cell>
          <cell r="N102">
            <v>4766775</v>
          </cell>
          <cell r="O102">
            <v>5564807</v>
          </cell>
          <cell r="P102">
            <v>175558</v>
          </cell>
          <cell r="Q102">
            <v>1583447</v>
          </cell>
          <cell r="R102">
            <v>4571118</v>
          </cell>
          <cell r="S102">
            <v>5741320</v>
          </cell>
          <cell r="T102">
            <v>191126</v>
          </cell>
          <cell r="U102">
            <v>2175648</v>
          </cell>
          <cell r="V102">
            <v>4743607</v>
          </cell>
          <cell r="W102">
            <v>5568998</v>
          </cell>
          <cell r="X102">
            <v>273327</v>
          </cell>
          <cell r="Y102">
            <v>2660897</v>
          </cell>
          <cell r="Z102">
            <v>4659578</v>
          </cell>
          <cell r="AD102">
            <v>0</v>
          </cell>
          <cell r="AH102">
            <v>0</v>
          </cell>
          <cell r="AL102">
            <v>0</v>
          </cell>
          <cell r="AP102">
            <v>0</v>
          </cell>
          <cell r="AT102">
            <v>0</v>
          </cell>
          <cell r="AX102">
            <v>0</v>
          </cell>
          <cell r="AZ102">
            <v>35048658</v>
          </cell>
          <cell r="BA102">
            <v>18293698</v>
          </cell>
          <cell r="BB102">
            <v>13762561</v>
          </cell>
          <cell r="BC102">
            <v>28324685</v>
          </cell>
          <cell r="BE102">
            <v>18173533</v>
          </cell>
          <cell r="BF102">
            <v>17653687</v>
          </cell>
          <cell r="BG102">
            <v>7342569</v>
          </cell>
          <cell r="BH102">
            <v>14350382</v>
          </cell>
          <cell r="BI102">
            <v>16875125</v>
          </cell>
          <cell r="BJ102">
            <v>640011</v>
          </cell>
          <cell r="BK102">
            <v>6419992</v>
          </cell>
          <cell r="BL102">
            <v>13974303</v>
          </cell>
        </row>
        <row r="103">
          <cell r="D103">
            <v>2.3588364910172174E-2</v>
          </cell>
          <cell r="E103">
            <v>1.8573341730601128E-2</v>
          </cell>
          <cell r="F103">
            <v>1.6028645791059684E-2</v>
          </cell>
          <cell r="G103">
            <v>2.9929026011922162E-2</v>
          </cell>
          <cell r="H103">
            <v>3.4005318104745504E-2</v>
          </cell>
          <cell r="I103">
            <v>2.0881269355803877E-2</v>
          </cell>
          <cell r="J103">
            <v>1.8086545705596934E-2</v>
          </cell>
          <cell r="K103">
            <v>1.8956427366114192E-2</v>
          </cell>
          <cell r="L103">
            <v>1.7380650836881398E-2</v>
          </cell>
          <cell r="M103">
            <v>3.0859204800659491E-2</v>
          </cell>
          <cell r="N103">
            <v>1.5784243834581196E-2</v>
          </cell>
          <cell r="O103">
            <v>2.3533533827206292E-2</v>
          </cell>
          <cell r="P103">
            <v>-3.0860772179168373E-2</v>
          </cell>
          <cell r="Q103">
            <v>2.4001529361043633E-2</v>
          </cell>
          <cell r="R103">
            <v>1.9735672334746508E-2</v>
          </cell>
          <cell r="S103">
            <v>2.4622760357145151E-2</v>
          </cell>
          <cell r="T103">
            <v>4.3293122698221456E-2</v>
          </cell>
          <cell r="U103">
            <v>2.6371669198214657E-2</v>
          </cell>
          <cell r="V103">
            <v>2.1088848149030375E-2</v>
          </cell>
          <cell r="W103">
            <v>2.5573671579489126E-2</v>
          </cell>
          <cell r="X103">
            <v>0.28676497370729076</v>
          </cell>
          <cell r="Y103">
            <v>2.1809884716380248E-2</v>
          </cell>
          <cell r="Z103">
            <v>2.3682136084447681E-2</v>
          </cell>
          <cell r="AD103" t="e">
            <v>#DIV/0!</v>
          </cell>
          <cell r="AH103" t="e">
            <v>#DIV/0!</v>
          </cell>
          <cell r="AL103" t="e">
            <v>#DIV/0!</v>
          </cell>
          <cell r="AP103" t="e">
            <v>#DIV/0!</v>
          </cell>
          <cell r="AT103" t="e">
            <v>#DIV/0!</v>
          </cell>
          <cell r="AX103" t="e">
            <v>#DIV/0!</v>
          </cell>
          <cell r="AZ103">
            <v>2.3891452523055228E-2</v>
          </cell>
          <cell r="BA103">
            <v>2.4944325106286178E-2</v>
          </cell>
          <cell r="BB103">
            <v>2.3288634230038047E-2</v>
          </cell>
          <cell r="BC103">
            <v>1.9234985700860713E-2</v>
          </cell>
          <cell r="BE103">
            <v>2.3203137649853336E-2</v>
          </cell>
          <cell r="BF103">
            <v>2.5803853859214951E-2</v>
          </cell>
          <cell r="BG103">
            <v>2.2683410836137841E-2</v>
          </cell>
          <cell r="BH103">
            <v>1.6556795520141616E-2</v>
          </cell>
          <cell r="BI103">
            <v>2.4630311176243563E-2</v>
          </cell>
          <cell r="BJ103">
            <v>1.0866394198892388E-2</v>
          </cell>
          <cell r="BK103">
            <v>2.3948693812462563E-2</v>
          </cell>
          <cell r="BL103">
            <v>2.1558123646626612E-2</v>
          </cell>
        </row>
        <row r="106">
          <cell r="D106">
            <v>578581.951627817</v>
          </cell>
          <cell r="E106">
            <v>402223.85188096703</v>
          </cell>
          <cell r="F106">
            <v>498460.79999999993</v>
          </cell>
          <cell r="G106">
            <v>518943.30235739844</v>
          </cell>
          <cell r="H106">
            <v>542650.51087209885</v>
          </cell>
          <cell r="I106">
            <v>347399.43327794102</v>
          </cell>
          <cell r="J106">
            <v>448386.86467255594</v>
          </cell>
          <cell r="K106">
            <v>539541.97678000014</v>
          </cell>
          <cell r="L106">
            <v>465539.30971195456</v>
          </cell>
          <cell r="M106">
            <v>369669.36299565202</v>
          </cell>
          <cell r="N106">
            <v>483007.96600877395</v>
          </cell>
          <cell r="O106">
            <v>508648.34857559454</v>
          </cell>
          <cell r="P106">
            <v>259066.958904233</v>
          </cell>
          <cell r="Q106">
            <v>373007.58514656598</v>
          </cell>
          <cell r="R106">
            <v>493326.75751307799</v>
          </cell>
          <cell r="S106">
            <v>508409.07930867019</v>
          </cell>
          <cell r="T106">
            <v>349501.45704714704</v>
          </cell>
          <cell r="U106">
            <v>375765.58195777901</v>
          </cell>
          <cell r="V106">
            <v>494686.41680425499</v>
          </cell>
          <cell r="W106">
            <v>504247.38195720222</v>
          </cell>
          <cell r="X106">
            <v>310203.24274300598</v>
          </cell>
          <cell r="Y106">
            <v>347072.39238432999</v>
          </cell>
          <cell r="Z106">
            <v>471265.94418898702</v>
          </cell>
          <cell r="AD106">
            <v>0</v>
          </cell>
          <cell r="AH106">
            <v>0</v>
          </cell>
          <cell r="AL106">
            <v>0</v>
          </cell>
          <cell r="AP106">
            <v>0</v>
          </cell>
          <cell r="AT106">
            <v>0</v>
          </cell>
          <cell r="AX106">
            <v>0</v>
          </cell>
          <cell r="AZ106">
            <v>3124945.5079579065</v>
          </cell>
          <cell r="BA106">
            <v>2505543.4309062567</v>
          </cell>
          <cell r="BB106">
            <v>2215138.2076432346</v>
          </cell>
          <cell r="BC106">
            <v>2889134.7491876497</v>
          </cell>
          <cell r="BE106">
            <v>1603640.6981164396</v>
          </cell>
          <cell r="BF106">
            <v>1586771.7722118704</v>
          </cell>
          <cell r="BG106">
            <v>1119292.64815456</v>
          </cell>
          <cell r="BH106">
            <v>1429855.6306813299</v>
          </cell>
          <cell r="BI106">
            <v>1521304.8098414671</v>
          </cell>
          <cell r="BJ106">
            <v>918771.65869438602</v>
          </cell>
          <cell r="BK106">
            <v>1095845.5594886751</v>
          </cell>
          <cell r="BL106">
            <v>1459279.1185063198</v>
          </cell>
        </row>
        <row r="107">
          <cell r="D107">
            <v>290942.57437516499</v>
          </cell>
          <cell r="E107">
            <v>255328.09484730003</v>
          </cell>
          <cell r="F107">
            <v>266778.18631403701</v>
          </cell>
          <cell r="G107">
            <v>300699.71735255281</v>
          </cell>
          <cell r="H107">
            <v>284108.23839599872</v>
          </cell>
          <cell r="I107">
            <v>227872.7290008</v>
          </cell>
          <cell r="J107">
            <v>275876.13711468998</v>
          </cell>
          <cell r="K107">
            <v>313057.61560000008</v>
          </cell>
          <cell r="L107">
            <v>257292.60203339357</v>
          </cell>
          <cell r="M107">
            <v>248254.09395009998</v>
          </cell>
          <cell r="N107">
            <v>292901.42679428839</v>
          </cell>
          <cell r="O107">
            <v>284735.73284020857</v>
          </cell>
          <cell r="P107">
            <v>193687.116930527</v>
          </cell>
          <cell r="Q107">
            <v>264961.60541681701</v>
          </cell>
          <cell r="R107">
            <v>292580.709885752</v>
          </cell>
          <cell r="S107">
            <v>286873.5718402061</v>
          </cell>
          <cell r="T107">
            <v>274832.62749435898</v>
          </cell>
          <cell r="U107">
            <v>262287.9445716</v>
          </cell>
          <cell r="V107">
            <v>286846.72568536492</v>
          </cell>
          <cell r="W107">
            <v>277874.55073838274</v>
          </cell>
          <cell r="X107">
            <v>247698.36774053102</v>
          </cell>
          <cell r="Y107">
            <v>218110.16720356001</v>
          </cell>
          <cell r="Z107">
            <v>267726.7810083704</v>
          </cell>
          <cell r="AD107">
            <v>0</v>
          </cell>
          <cell r="AH107">
            <v>0</v>
          </cell>
          <cell r="AL107">
            <v>0</v>
          </cell>
          <cell r="AP107">
            <v>0</v>
          </cell>
          <cell r="AT107">
            <v>0</v>
          </cell>
          <cell r="AX107">
            <v>0</v>
          </cell>
          <cell r="AZ107">
            <v>1748251.0569927795</v>
          </cell>
          <cell r="BA107">
            <v>1548561.5269699742</v>
          </cell>
          <cell r="BB107">
            <v>1476814.6349901771</v>
          </cell>
          <cell r="BC107">
            <v>1682709.9668025027</v>
          </cell>
          <cell r="BE107">
            <v>898767.2015739819</v>
          </cell>
          <cell r="BF107">
            <v>832343.41480455722</v>
          </cell>
          <cell r="BG107">
            <v>731454.91779820004</v>
          </cell>
          <cell r="BH107">
            <v>835555.75022301544</v>
          </cell>
          <cell r="BI107">
            <v>849483.85541879747</v>
          </cell>
          <cell r="BJ107">
            <v>716218.11216541694</v>
          </cell>
          <cell r="BK107">
            <v>745359.71719197696</v>
          </cell>
          <cell r="BL107">
            <v>847154.21657948731</v>
          </cell>
        </row>
        <row r="108">
          <cell r="D108">
            <v>0.50285456287844754</v>
          </cell>
          <cell r="E108">
            <v>0.63479103403062509</v>
          </cell>
          <cell r="F108">
            <v>0.5352039444506711</v>
          </cell>
          <cell r="G108">
            <v>0.57944618609888066</v>
          </cell>
          <cell r="H108">
            <v>0.52355656671069128</v>
          </cell>
          <cell r="I108">
            <v>0.65593868950985801</v>
          </cell>
          <cell r="J108">
            <v>0.615263645861157</v>
          </cell>
          <cell r="K108">
            <v>0.58022846983720466</v>
          </cell>
          <cell r="L108">
            <v>0.55267642638510917</v>
          </cell>
          <cell r="M108">
            <v>0.67155712320422911</v>
          </cell>
          <cell r="N108">
            <v>0.60641117208606821</v>
          </cell>
          <cell r="O108">
            <v>0.55978896547600132</v>
          </cell>
          <cell r="P108">
            <v>0.74763342168279212</v>
          </cell>
          <cell r="Q108">
            <v>0.7103383844398381</v>
          </cell>
          <cell r="R108">
            <v>0.59307691186403111</v>
          </cell>
          <cell r="S108">
            <v>0.56425737366904238</v>
          </cell>
          <cell r="T108">
            <v>0.78635617091943799</v>
          </cell>
          <cell r="U108">
            <v>0.69800949625309394</v>
          </cell>
          <cell r="V108">
            <v>0.57985567410246641</v>
          </cell>
          <cell r="W108">
            <v>0.55106790968320229</v>
          </cell>
          <cell r="X108">
            <v>0.79850347646346698</v>
          </cell>
          <cell r="Y108">
            <v>0.62842845466670283</v>
          </cell>
          <cell r="Z108">
            <v>0.56810126916577408</v>
          </cell>
          <cell r="AD108">
            <v>0</v>
          </cell>
          <cell r="AH108">
            <v>0</v>
          </cell>
          <cell r="AL108">
            <v>0</v>
          </cell>
          <cell r="AP108">
            <v>0</v>
          </cell>
          <cell r="AT108">
            <v>0</v>
          </cell>
          <cell r="AX108">
            <v>0</v>
          </cell>
          <cell r="AZ108">
            <v>0.55945009362266573</v>
          </cell>
          <cell r="BA108">
            <v>0.61805415458707835</v>
          </cell>
          <cell r="BB108">
            <v>0.66669187046410683</v>
          </cell>
          <cell r="BC108">
            <v>0.58242695923948773</v>
          </cell>
          <cell r="BE108">
            <v>0.56045422308727344</v>
          </cell>
          <cell r="BF108">
            <v>0.52455143794517933</v>
          </cell>
          <cell r="BG108">
            <v>0.65349747360906052</v>
          </cell>
          <cell r="BH108">
            <v>0.58436371637384887</v>
          </cell>
          <cell r="BI108">
            <v>0.55839161877580668</v>
          </cell>
          <cell r="BJ108">
            <v>0.77953875197151123</v>
          </cell>
          <cell r="BK108">
            <v>0.68016857917439033</v>
          </cell>
          <cell r="BL108">
            <v>0.58052925299624125</v>
          </cell>
        </row>
        <row r="109">
          <cell r="D109">
            <v>30.974944420407734</v>
          </cell>
          <cell r="E109">
            <v>46.449810906694715</v>
          </cell>
          <cell r="F109">
            <v>51.353719139963459</v>
          </cell>
          <cell r="G109">
            <v>28.621398150382447</v>
          </cell>
          <cell r="H109">
            <v>28.748627777975489</v>
          </cell>
          <cell r="I109">
            <v>47.323138851933621</v>
          </cell>
          <cell r="J109">
            <v>51.263834179600146</v>
          </cell>
          <cell r="K109">
            <v>28.980444017987878</v>
          </cell>
          <cell r="L109">
            <v>31.323435567965451</v>
          </cell>
          <cell r="M109">
            <v>47.848317931426863</v>
          </cell>
          <cell r="N109">
            <v>51.987745526189208</v>
          </cell>
          <cell r="O109">
            <v>32.76049946739554</v>
          </cell>
          <cell r="P109">
            <v>47.019242873301877</v>
          </cell>
          <cell r="Q109">
            <v>51.36149747301446</v>
          </cell>
          <cell r="R109">
            <v>54.772869726704783</v>
          </cell>
          <cell r="S109">
            <v>32.914262753002802</v>
          </cell>
          <cell r="T109">
            <v>46.820024135305815</v>
          </cell>
          <cell r="U109">
            <v>51.408178181052747</v>
          </cell>
          <cell r="V109">
            <v>56.464621826558172</v>
          </cell>
          <cell r="W109">
            <v>29.350193788052177</v>
          </cell>
          <cell r="X109">
            <v>39.960219194968936</v>
          </cell>
          <cell r="Y109">
            <v>45.497893618064076</v>
          </cell>
          <cell r="Z109">
            <v>52.518856916647039</v>
          </cell>
          <cell r="AD109" t="e">
            <v>#DIV/0!</v>
          </cell>
          <cell r="AH109" t="e">
            <v>#DIV/0!</v>
          </cell>
          <cell r="AL109" t="e">
            <v>#DIV/0!</v>
          </cell>
          <cell r="AP109" t="e">
            <v>#DIV/0!</v>
          </cell>
          <cell r="AT109" t="e">
            <v>#DIV/0!</v>
          </cell>
          <cell r="AX109" t="e">
            <v>#DIV/0!</v>
          </cell>
          <cell r="AZ109">
            <v>30.473667239092851</v>
          </cell>
          <cell r="BA109">
            <v>36.880428853704586</v>
          </cell>
          <cell r="BB109">
            <v>48.440919422675179</v>
          </cell>
          <cell r="BC109">
            <v>53.100468115540203</v>
          </cell>
          <cell r="BE109">
            <v>29.317527450494939</v>
          </cell>
          <cell r="BF109">
            <v>30.32274882950508</v>
          </cell>
          <cell r="BG109">
            <v>47.196395150253856</v>
          </cell>
          <cell r="BH109">
            <v>51.546297693169585</v>
          </cell>
          <cell r="BI109">
            <v>31.696881212846588</v>
          </cell>
          <cell r="BJ109">
            <v>44.501350039340856</v>
          </cell>
          <cell r="BK109">
            <v>49.662226904666944</v>
          </cell>
          <cell r="BL109">
            <v>54.633360247602738</v>
          </cell>
        </row>
        <row r="110">
          <cell r="D110">
            <v>78598.36679</v>
          </cell>
          <cell r="E110">
            <v>66549.939210500001</v>
          </cell>
          <cell r="F110">
            <v>69394.644</v>
          </cell>
          <cell r="G110">
            <v>70525.017319999999</v>
          </cell>
          <cell r="H110">
            <v>78744.292350000003</v>
          </cell>
          <cell r="I110">
            <v>59713.177498499994</v>
          </cell>
          <cell r="J110">
            <v>69934.989609600001</v>
          </cell>
          <cell r="K110">
            <v>76624.509669999999</v>
          </cell>
          <cell r="L110">
            <v>68694.071069999991</v>
          </cell>
          <cell r="M110">
            <v>65979.6954329</v>
          </cell>
          <cell r="N110">
            <v>75821.321437071005</v>
          </cell>
          <cell r="O110">
            <v>74177.315870000006</v>
          </cell>
          <cell r="P110">
            <v>48479.126035800007</v>
          </cell>
          <cell r="Q110">
            <v>70666.665649999995</v>
          </cell>
          <cell r="R110">
            <v>77020.168000878999</v>
          </cell>
          <cell r="S110">
            <v>75844.153829999996</v>
          </cell>
          <cell r="T110">
            <v>61138.3099114</v>
          </cell>
          <cell r="U110">
            <v>69351.069855900001</v>
          </cell>
          <cell r="V110">
            <v>73648.62953463319</v>
          </cell>
          <cell r="W110">
            <v>70082.016650000005</v>
          </cell>
          <cell r="X110">
            <v>58292.474352699996</v>
          </cell>
          <cell r="Y110">
            <v>58718.144111599999</v>
          </cell>
          <cell r="Z110">
            <v>68400.7108088026</v>
          </cell>
          <cell r="AD110">
            <v>0</v>
          </cell>
          <cell r="AH110">
            <v>0</v>
          </cell>
          <cell r="AL110">
            <v>0</v>
          </cell>
          <cell r="AP110">
            <v>0</v>
          </cell>
          <cell r="AT110">
            <v>0</v>
          </cell>
          <cell r="AX110">
            <v>0</v>
          </cell>
          <cell r="AZ110">
            <v>434850.23502000002</v>
          </cell>
          <cell r="BA110">
            <v>393946.64050990005</v>
          </cell>
          <cell r="BB110">
            <v>390978.69175940001</v>
          </cell>
          <cell r="BC110">
            <v>434220.46339098585</v>
          </cell>
          <cell r="BE110">
            <v>214746.74867</v>
          </cell>
          <cell r="BF110">
            <v>226036.73021000001</v>
          </cell>
          <cell r="BG110">
            <v>192242.81214190001</v>
          </cell>
          <cell r="BH110">
            <v>215150.95504667104</v>
          </cell>
          <cell r="BI110">
            <v>220103.48635000002</v>
          </cell>
          <cell r="BJ110">
            <v>167909.91029989999</v>
          </cell>
          <cell r="BK110">
            <v>198735.8796175</v>
          </cell>
          <cell r="BL110">
            <v>219069.50834431479</v>
          </cell>
        </row>
        <row r="111">
          <cell r="D111">
            <v>1.84211072695247E-2</v>
          </cell>
          <cell r="E111">
            <v>1.0223381346488225E-2</v>
          </cell>
          <cell r="F111">
            <v>1.0321505820319292E-2</v>
          </cell>
          <cell r="G111">
            <v>7.1718639733147046E-3</v>
          </cell>
          <cell r="H111">
            <v>1.5160515605644404E-2</v>
          </cell>
          <cell r="I111">
            <v>1.4500958259968012E-2</v>
          </cell>
          <cell r="J111">
            <v>9.1376826166593549E-3</v>
          </cell>
          <cell r="K111">
            <v>1.292687361975229E-2</v>
          </cell>
          <cell r="L111">
            <v>1.5611384364672418E-2</v>
          </cell>
          <cell r="M111">
            <v>7.6151506660641823E-3</v>
          </cell>
          <cell r="N111">
            <v>8.1800749316256506E-3</v>
          </cell>
          <cell r="O111">
            <v>5.197135774251016E-3</v>
          </cell>
          <cell r="P111">
            <v>1.5591928162634845E-2</v>
          </cell>
          <cell r="Q111">
            <v>1.3186192950559492E-2</v>
          </cell>
          <cell r="R111">
            <v>1.0206386072352948E-2</v>
          </cell>
          <cell r="S111">
            <v>1.2266636110730963E-2</v>
          </cell>
          <cell r="T111">
            <v>1.4332835660509885E-2</v>
          </cell>
          <cell r="U111">
            <v>9.8505277402826438E-3</v>
          </cell>
          <cell r="V111">
            <v>1.1043902991845499E-2</v>
          </cell>
          <cell r="W111">
            <v>1.6168311406920089E-2</v>
          </cell>
          <cell r="X111">
            <v>1.2903198444345048E-2</v>
          </cell>
          <cell r="Y111">
            <v>1.236928857220165E-2</v>
          </cell>
          <cell r="Z111">
            <v>1.1303596057278615E-2</v>
          </cell>
          <cell r="AD111" t="e">
            <v>#DIV/0!</v>
          </cell>
          <cell r="AH111" t="e">
            <v>#DIV/0!</v>
          </cell>
          <cell r="AL111" t="e">
            <v>#DIV/0!</v>
          </cell>
          <cell r="AP111" t="e">
            <v>#DIV/0!</v>
          </cell>
          <cell r="AT111" t="e">
            <v>#DIV/0!</v>
          </cell>
          <cell r="AX111" t="e">
            <v>#DIV/0!</v>
          </cell>
          <cell r="AZ111">
            <v>1.2620254420636648E-2</v>
          </cell>
          <cell r="BA111">
            <v>1.522976393856609E-2</v>
          </cell>
          <cell r="BB111">
            <v>1.1226115777257644E-2</v>
          </cell>
          <cell r="BC111">
            <v>1.0034039531492385E-2</v>
          </cell>
          <cell r="BE111">
            <v>1.4276658490201006E-2</v>
          </cell>
          <cell r="BF111">
            <v>1.646872842880449E-2</v>
          </cell>
          <cell r="BG111">
            <v>1.0662143193456953E-2</v>
          </cell>
          <cell r="BH111">
            <v>9.1756831255804683E-3</v>
          </cell>
          <cell r="BI111">
            <v>1.0999306046957372E-2</v>
          </cell>
          <cell r="BJ111">
            <v>1.4248667972877285E-2</v>
          </cell>
          <cell r="BK111">
            <v>1.1752087356128253E-2</v>
          </cell>
          <cell r="BL111">
            <v>1.083280663939761E-2</v>
          </cell>
        </row>
        <row r="115">
          <cell r="AZ115">
            <v>0</v>
          </cell>
          <cell r="BA115">
            <v>0</v>
          </cell>
          <cell r="BB115">
            <v>0</v>
          </cell>
          <cell r="BC115">
            <v>0</v>
          </cell>
          <cell r="BE115">
            <v>0</v>
          </cell>
          <cell r="BF115">
            <v>0</v>
          </cell>
          <cell r="BG115">
            <v>0</v>
          </cell>
          <cell r="BH115">
            <v>0</v>
          </cell>
          <cell r="BI115">
            <v>0</v>
          </cell>
          <cell r="BJ115">
            <v>0</v>
          </cell>
          <cell r="BK115">
            <v>0</v>
          </cell>
          <cell r="BL115">
            <v>0</v>
          </cell>
        </row>
        <row r="116">
          <cell r="AZ116">
            <v>0</v>
          </cell>
          <cell r="BA116">
            <v>0</v>
          </cell>
          <cell r="BB116">
            <v>0</v>
          </cell>
          <cell r="BC116">
            <v>0</v>
          </cell>
          <cell r="BE116">
            <v>0</v>
          </cell>
          <cell r="BF116">
            <v>0</v>
          </cell>
          <cell r="BG116">
            <v>0</v>
          </cell>
          <cell r="BH116">
            <v>0</v>
          </cell>
          <cell r="BI116">
            <v>0</v>
          </cell>
          <cell r="BJ116">
            <v>0</v>
          </cell>
          <cell r="BK116">
            <v>0</v>
          </cell>
          <cell r="BL116">
            <v>0</v>
          </cell>
        </row>
        <row r="117">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D117">
            <v>0</v>
          </cell>
          <cell r="AH117">
            <v>0</v>
          </cell>
          <cell r="AL117">
            <v>0</v>
          </cell>
          <cell r="AP117">
            <v>0</v>
          </cell>
          <cell r="AT117">
            <v>0</v>
          </cell>
          <cell r="AX117">
            <v>0</v>
          </cell>
          <cell r="AZ117">
            <v>0</v>
          </cell>
          <cell r="BA117">
            <v>0</v>
          </cell>
          <cell r="BB117">
            <v>0</v>
          </cell>
          <cell r="BC117">
            <v>0</v>
          </cell>
          <cell r="BE117">
            <v>0</v>
          </cell>
          <cell r="BF117">
            <v>0</v>
          </cell>
          <cell r="BG117">
            <v>0</v>
          </cell>
          <cell r="BH117">
            <v>0</v>
          </cell>
          <cell r="BI117">
            <v>0</v>
          </cell>
          <cell r="BJ117">
            <v>0</v>
          </cell>
          <cell r="BK117">
            <v>0</v>
          </cell>
          <cell r="BL117">
            <v>0</v>
          </cell>
        </row>
        <row r="118">
          <cell r="AZ118">
            <v>0</v>
          </cell>
          <cell r="BA118">
            <v>0</v>
          </cell>
          <cell r="BB118">
            <v>0</v>
          </cell>
          <cell r="BC118">
            <v>0</v>
          </cell>
          <cell r="BE118">
            <v>0</v>
          </cell>
          <cell r="BF118">
            <v>0</v>
          </cell>
          <cell r="BG118">
            <v>0</v>
          </cell>
          <cell r="BH118">
            <v>0</v>
          </cell>
          <cell r="BI118">
            <v>0</v>
          </cell>
          <cell r="BJ118">
            <v>0</v>
          </cell>
          <cell r="BK118">
            <v>0</v>
          </cell>
          <cell r="BL118">
            <v>0</v>
          </cell>
        </row>
        <row r="121">
          <cell r="AZ121">
            <v>0</v>
          </cell>
          <cell r="BA121">
            <v>0</v>
          </cell>
          <cell r="BB121">
            <v>0</v>
          </cell>
          <cell r="BC121">
            <v>0</v>
          </cell>
          <cell r="BE121">
            <v>0</v>
          </cell>
          <cell r="BF121">
            <v>0</v>
          </cell>
          <cell r="BG121">
            <v>0</v>
          </cell>
          <cell r="BH121">
            <v>0</v>
          </cell>
          <cell r="BI121">
            <v>0</v>
          </cell>
          <cell r="BJ121">
            <v>0</v>
          </cell>
          <cell r="BK121">
            <v>0</v>
          </cell>
          <cell r="BL121">
            <v>0</v>
          </cell>
        </row>
        <row r="122">
          <cell r="AZ122">
            <v>0</v>
          </cell>
          <cell r="BA122">
            <v>0</v>
          </cell>
          <cell r="BB122">
            <v>0</v>
          </cell>
          <cell r="BC122">
            <v>0</v>
          </cell>
          <cell r="BE122">
            <v>0</v>
          </cell>
          <cell r="BF122">
            <v>0</v>
          </cell>
          <cell r="BG122">
            <v>0</v>
          </cell>
          <cell r="BH122">
            <v>0</v>
          </cell>
          <cell r="BI122">
            <v>0</v>
          </cell>
          <cell r="BJ122">
            <v>0</v>
          </cell>
          <cell r="BK122">
            <v>0</v>
          </cell>
          <cell r="BL122">
            <v>0</v>
          </cell>
        </row>
        <row r="123">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D123">
            <v>0</v>
          </cell>
          <cell r="AH123">
            <v>0</v>
          </cell>
          <cell r="AL123">
            <v>0</v>
          </cell>
          <cell r="AP123">
            <v>0</v>
          </cell>
          <cell r="AT123">
            <v>0</v>
          </cell>
          <cell r="AX123">
            <v>0</v>
          </cell>
          <cell r="AZ123">
            <v>0</v>
          </cell>
          <cell r="BA123">
            <v>0</v>
          </cell>
          <cell r="BB123">
            <v>0</v>
          </cell>
          <cell r="BC123">
            <v>0</v>
          </cell>
          <cell r="BE123">
            <v>0</v>
          </cell>
          <cell r="BF123">
            <v>0</v>
          </cell>
          <cell r="BG123">
            <v>0</v>
          </cell>
          <cell r="BH123">
            <v>0</v>
          </cell>
          <cell r="BI123">
            <v>0</v>
          </cell>
          <cell r="BJ123">
            <v>0</v>
          </cell>
          <cell r="BK123">
            <v>0</v>
          </cell>
          <cell r="BL123">
            <v>0</v>
          </cell>
        </row>
        <row r="124">
          <cell r="AZ124">
            <v>0</v>
          </cell>
          <cell r="BA124">
            <v>0</v>
          </cell>
          <cell r="BB124">
            <v>0</v>
          </cell>
          <cell r="BC124">
            <v>0</v>
          </cell>
          <cell r="BE124">
            <v>0</v>
          </cell>
          <cell r="BF124">
            <v>0</v>
          </cell>
          <cell r="BG124">
            <v>0</v>
          </cell>
          <cell r="BH124">
            <v>0</v>
          </cell>
          <cell r="BI124">
            <v>0</v>
          </cell>
          <cell r="BJ124">
            <v>0</v>
          </cell>
          <cell r="BK124">
            <v>0</v>
          </cell>
          <cell r="BL124">
            <v>0</v>
          </cell>
        </row>
        <row r="127">
          <cell r="AZ127">
            <v>0</v>
          </cell>
          <cell r="BA127">
            <v>0</v>
          </cell>
          <cell r="BB127">
            <v>0</v>
          </cell>
          <cell r="BC127">
            <v>0</v>
          </cell>
          <cell r="BE127">
            <v>0</v>
          </cell>
          <cell r="BF127">
            <v>0</v>
          </cell>
          <cell r="BG127">
            <v>0</v>
          </cell>
          <cell r="BH127">
            <v>0</v>
          </cell>
          <cell r="BI127">
            <v>0</v>
          </cell>
          <cell r="BJ127">
            <v>0</v>
          </cell>
          <cell r="BK127">
            <v>0</v>
          </cell>
          <cell r="BL127">
            <v>0</v>
          </cell>
        </row>
        <row r="128">
          <cell r="AZ128">
            <v>0</v>
          </cell>
          <cell r="BA128">
            <v>0</v>
          </cell>
          <cell r="BB128">
            <v>0</v>
          </cell>
          <cell r="BC128">
            <v>0</v>
          </cell>
          <cell r="BE128">
            <v>0</v>
          </cell>
          <cell r="BF128">
            <v>0</v>
          </cell>
          <cell r="BG128">
            <v>0</v>
          </cell>
          <cell r="BH128">
            <v>0</v>
          </cell>
          <cell r="BI128">
            <v>0</v>
          </cell>
          <cell r="BJ128">
            <v>0</v>
          </cell>
          <cell r="BK128">
            <v>0</v>
          </cell>
          <cell r="BL128">
            <v>0</v>
          </cell>
        </row>
        <row r="129">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D129">
            <v>0</v>
          </cell>
          <cell r="AH129">
            <v>0</v>
          </cell>
          <cell r="AL129">
            <v>0</v>
          </cell>
          <cell r="AP129">
            <v>0</v>
          </cell>
          <cell r="AT129">
            <v>0</v>
          </cell>
          <cell r="AX129">
            <v>0</v>
          </cell>
          <cell r="AZ129">
            <v>0</v>
          </cell>
          <cell r="BA129">
            <v>0</v>
          </cell>
          <cell r="BB129">
            <v>0</v>
          </cell>
          <cell r="BC129">
            <v>0</v>
          </cell>
          <cell r="BE129">
            <v>0</v>
          </cell>
          <cell r="BF129">
            <v>0</v>
          </cell>
          <cell r="BG129">
            <v>0</v>
          </cell>
          <cell r="BH129">
            <v>0</v>
          </cell>
          <cell r="BI129">
            <v>0</v>
          </cell>
          <cell r="BJ129">
            <v>0</v>
          </cell>
          <cell r="BK129">
            <v>0</v>
          </cell>
          <cell r="BL129">
            <v>0</v>
          </cell>
        </row>
        <row r="130">
          <cell r="AZ130">
            <v>0</v>
          </cell>
          <cell r="BA130">
            <v>0</v>
          </cell>
          <cell r="BB130">
            <v>0</v>
          </cell>
          <cell r="BC130">
            <v>0</v>
          </cell>
          <cell r="BE130">
            <v>0</v>
          </cell>
          <cell r="BF130">
            <v>0</v>
          </cell>
          <cell r="BG130">
            <v>0</v>
          </cell>
          <cell r="BH130">
            <v>0</v>
          </cell>
          <cell r="BI130">
            <v>0</v>
          </cell>
          <cell r="BJ130">
            <v>0</v>
          </cell>
          <cell r="BK130">
            <v>0</v>
          </cell>
          <cell r="BL130">
            <v>0</v>
          </cell>
        </row>
        <row r="133">
          <cell r="AZ133">
            <v>0</v>
          </cell>
          <cell r="BA133">
            <v>0</v>
          </cell>
          <cell r="BB133">
            <v>0</v>
          </cell>
          <cell r="BC133">
            <v>0</v>
          </cell>
          <cell r="BE133">
            <v>0</v>
          </cell>
          <cell r="BF133">
            <v>0</v>
          </cell>
          <cell r="BG133">
            <v>0</v>
          </cell>
          <cell r="BH133">
            <v>0</v>
          </cell>
          <cell r="BI133">
            <v>0</v>
          </cell>
          <cell r="BJ133">
            <v>0</v>
          </cell>
          <cell r="BK133">
            <v>0</v>
          </cell>
          <cell r="BL133">
            <v>0</v>
          </cell>
        </row>
        <row r="134">
          <cell r="AZ134">
            <v>0</v>
          </cell>
          <cell r="BA134">
            <v>0</v>
          </cell>
          <cell r="BB134">
            <v>0</v>
          </cell>
          <cell r="BC134">
            <v>0</v>
          </cell>
          <cell r="BE134">
            <v>0</v>
          </cell>
          <cell r="BF134">
            <v>0</v>
          </cell>
          <cell r="BG134">
            <v>0</v>
          </cell>
          <cell r="BH134">
            <v>0</v>
          </cell>
          <cell r="BI134">
            <v>0</v>
          </cell>
          <cell r="BJ134">
            <v>0</v>
          </cell>
          <cell r="BK134">
            <v>0</v>
          </cell>
          <cell r="BL134">
            <v>0</v>
          </cell>
        </row>
        <row r="135">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D135">
            <v>0</v>
          </cell>
          <cell r="AH135">
            <v>0</v>
          </cell>
          <cell r="AL135">
            <v>0</v>
          </cell>
          <cell r="AP135">
            <v>0</v>
          </cell>
          <cell r="AT135">
            <v>0</v>
          </cell>
          <cell r="AX135">
            <v>0</v>
          </cell>
          <cell r="AZ135">
            <v>0</v>
          </cell>
          <cell r="BA135">
            <v>0</v>
          </cell>
          <cell r="BB135">
            <v>0</v>
          </cell>
          <cell r="BC135">
            <v>0</v>
          </cell>
          <cell r="BE135">
            <v>0</v>
          </cell>
          <cell r="BF135">
            <v>0</v>
          </cell>
          <cell r="BG135">
            <v>0</v>
          </cell>
          <cell r="BH135">
            <v>0</v>
          </cell>
          <cell r="BI135">
            <v>0</v>
          </cell>
          <cell r="BJ135">
            <v>0</v>
          </cell>
          <cell r="BK135">
            <v>0</v>
          </cell>
          <cell r="BL135">
            <v>0</v>
          </cell>
        </row>
        <row r="136">
          <cell r="AZ136">
            <v>0</v>
          </cell>
          <cell r="BA136">
            <v>0</v>
          </cell>
          <cell r="BB136">
            <v>0</v>
          </cell>
          <cell r="BC136">
            <v>0</v>
          </cell>
          <cell r="BE136">
            <v>0</v>
          </cell>
          <cell r="BF136">
            <v>0</v>
          </cell>
          <cell r="BG136">
            <v>0</v>
          </cell>
          <cell r="BH136">
            <v>0</v>
          </cell>
          <cell r="BI136">
            <v>0</v>
          </cell>
          <cell r="BJ136">
            <v>0</v>
          </cell>
          <cell r="BK136">
            <v>0</v>
          </cell>
          <cell r="BL136">
            <v>0</v>
          </cell>
        </row>
        <row r="139">
          <cell r="AZ139">
            <v>0</v>
          </cell>
          <cell r="BA139">
            <v>0</v>
          </cell>
          <cell r="BB139">
            <v>0</v>
          </cell>
          <cell r="BC139">
            <v>0</v>
          </cell>
          <cell r="BE139">
            <v>0</v>
          </cell>
          <cell r="BF139">
            <v>0</v>
          </cell>
          <cell r="BG139">
            <v>0</v>
          </cell>
          <cell r="BH139">
            <v>0</v>
          </cell>
          <cell r="BI139">
            <v>0</v>
          </cell>
          <cell r="BJ139">
            <v>0</v>
          </cell>
          <cell r="BK139">
            <v>0</v>
          </cell>
          <cell r="BL139">
            <v>0</v>
          </cell>
        </row>
        <row r="140">
          <cell r="AZ140">
            <v>0</v>
          </cell>
          <cell r="BA140">
            <v>0</v>
          </cell>
          <cell r="BB140">
            <v>0</v>
          </cell>
          <cell r="BC140">
            <v>0</v>
          </cell>
          <cell r="BE140">
            <v>0</v>
          </cell>
          <cell r="BF140">
            <v>0</v>
          </cell>
          <cell r="BG140">
            <v>0</v>
          </cell>
          <cell r="BH140">
            <v>0</v>
          </cell>
          <cell r="BI140">
            <v>0</v>
          </cell>
          <cell r="BJ140">
            <v>0</v>
          </cell>
          <cell r="BK140">
            <v>0</v>
          </cell>
          <cell r="BL140">
            <v>0</v>
          </cell>
        </row>
        <row r="141">
          <cell r="AZ141">
            <v>0</v>
          </cell>
          <cell r="BA141">
            <v>0</v>
          </cell>
          <cell r="BB141">
            <v>0</v>
          </cell>
          <cell r="BC141">
            <v>0</v>
          </cell>
          <cell r="BE141">
            <v>0</v>
          </cell>
          <cell r="BF141">
            <v>0</v>
          </cell>
          <cell r="BG141">
            <v>0</v>
          </cell>
          <cell r="BH141">
            <v>0</v>
          </cell>
          <cell r="BI141">
            <v>0</v>
          </cell>
          <cell r="BJ141">
            <v>0</v>
          </cell>
          <cell r="BK141">
            <v>0</v>
          </cell>
          <cell r="BL141">
            <v>0</v>
          </cell>
        </row>
        <row r="142">
          <cell r="AZ142">
            <v>0</v>
          </cell>
          <cell r="BA142">
            <v>0</v>
          </cell>
          <cell r="BB142">
            <v>0</v>
          </cell>
          <cell r="BC142">
            <v>0</v>
          </cell>
          <cell r="BE142">
            <v>0</v>
          </cell>
          <cell r="BF142">
            <v>0</v>
          </cell>
          <cell r="BG142">
            <v>0</v>
          </cell>
          <cell r="BH142">
            <v>0</v>
          </cell>
          <cell r="BI142">
            <v>0</v>
          </cell>
          <cell r="BJ142">
            <v>0</v>
          </cell>
          <cell r="BK142">
            <v>0</v>
          </cell>
          <cell r="BL142">
            <v>0</v>
          </cell>
        </row>
        <row r="145">
          <cell r="AZ145">
            <v>0</v>
          </cell>
          <cell r="BA145">
            <v>0</v>
          </cell>
          <cell r="BB145">
            <v>0</v>
          </cell>
          <cell r="BC145">
            <v>0</v>
          </cell>
          <cell r="BE145">
            <v>0</v>
          </cell>
          <cell r="BF145">
            <v>0</v>
          </cell>
          <cell r="BG145">
            <v>0</v>
          </cell>
          <cell r="BH145">
            <v>0</v>
          </cell>
          <cell r="BI145">
            <v>0</v>
          </cell>
          <cell r="BJ145">
            <v>0</v>
          </cell>
          <cell r="BK145">
            <v>0</v>
          </cell>
          <cell r="BL145">
            <v>0</v>
          </cell>
        </row>
        <row r="146">
          <cell r="AZ146">
            <v>0</v>
          </cell>
          <cell r="BA146">
            <v>0</v>
          </cell>
          <cell r="BB146">
            <v>0</v>
          </cell>
          <cell r="BC146">
            <v>0</v>
          </cell>
          <cell r="BE146">
            <v>0</v>
          </cell>
          <cell r="BF146">
            <v>0</v>
          </cell>
          <cell r="BG146">
            <v>0</v>
          </cell>
          <cell r="BH146">
            <v>0</v>
          </cell>
          <cell r="BI146">
            <v>0</v>
          </cell>
          <cell r="BJ146">
            <v>0</v>
          </cell>
          <cell r="BK146">
            <v>0</v>
          </cell>
          <cell r="BL146">
            <v>0</v>
          </cell>
        </row>
        <row r="147">
          <cell r="AZ147">
            <v>0</v>
          </cell>
          <cell r="BA147">
            <v>0</v>
          </cell>
          <cell r="BB147">
            <v>0</v>
          </cell>
          <cell r="BC147">
            <v>0</v>
          </cell>
          <cell r="BE147">
            <v>0</v>
          </cell>
          <cell r="BF147">
            <v>0</v>
          </cell>
          <cell r="BG147">
            <v>0</v>
          </cell>
          <cell r="BH147">
            <v>0</v>
          </cell>
          <cell r="BI147">
            <v>0</v>
          </cell>
          <cell r="BJ147">
            <v>0</v>
          </cell>
          <cell r="BK147">
            <v>0</v>
          </cell>
          <cell r="BL147">
            <v>0</v>
          </cell>
        </row>
        <row r="148">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D148">
            <v>0</v>
          </cell>
          <cell r="AH148">
            <v>0</v>
          </cell>
          <cell r="AL148">
            <v>0</v>
          </cell>
          <cell r="AP148">
            <v>0</v>
          </cell>
          <cell r="AT148">
            <v>0</v>
          </cell>
          <cell r="AX148">
            <v>0</v>
          </cell>
          <cell r="AZ148">
            <v>0</v>
          </cell>
          <cell r="BA148">
            <v>0</v>
          </cell>
          <cell r="BB148">
            <v>0</v>
          </cell>
          <cell r="BC148">
            <v>0</v>
          </cell>
          <cell r="BE148">
            <v>0</v>
          </cell>
          <cell r="BF148">
            <v>0</v>
          </cell>
          <cell r="BG148">
            <v>0</v>
          </cell>
          <cell r="BH148">
            <v>0</v>
          </cell>
          <cell r="BI148">
            <v>0</v>
          </cell>
          <cell r="BJ148">
            <v>0</v>
          </cell>
          <cell r="BK148">
            <v>0</v>
          </cell>
          <cell r="BL148">
            <v>0</v>
          </cell>
        </row>
        <row r="149">
          <cell r="AZ149">
            <v>0</v>
          </cell>
          <cell r="BA149">
            <v>0</v>
          </cell>
          <cell r="BB149">
            <v>0</v>
          </cell>
          <cell r="BC149">
            <v>0</v>
          </cell>
          <cell r="BE149">
            <v>0</v>
          </cell>
          <cell r="BF149">
            <v>0</v>
          </cell>
          <cell r="BG149">
            <v>0</v>
          </cell>
          <cell r="BH149">
            <v>0</v>
          </cell>
          <cell r="BI149">
            <v>0</v>
          </cell>
          <cell r="BJ149">
            <v>0</v>
          </cell>
          <cell r="BK149">
            <v>0</v>
          </cell>
          <cell r="BL149">
            <v>0</v>
          </cell>
        </row>
        <row r="150">
          <cell r="AZ150">
            <v>0</v>
          </cell>
          <cell r="BA150">
            <v>0</v>
          </cell>
          <cell r="BB150">
            <v>0</v>
          </cell>
          <cell r="BC150">
            <v>0</v>
          </cell>
          <cell r="BE150">
            <v>0</v>
          </cell>
          <cell r="BF150">
            <v>0</v>
          </cell>
          <cell r="BG150">
            <v>0</v>
          </cell>
          <cell r="BH150">
            <v>0</v>
          </cell>
          <cell r="BI150">
            <v>0</v>
          </cell>
          <cell r="BJ150">
            <v>0</v>
          </cell>
          <cell r="BK150">
            <v>0</v>
          </cell>
          <cell r="BL150">
            <v>0</v>
          </cell>
        </row>
        <row r="151">
          <cell r="D151" t="e">
            <v>#DIV/0!</v>
          </cell>
          <cell r="E151" t="e">
            <v>#DIV/0!</v>
          </cell>
          <cell r="F151" t="e">
            <v>#DIV/0!</v>
          </cell>
          <cell r="G151" t="e">
            <v>#DIV/0!</v>
          </cell>
          <cell r="H151" t="e">
            <v>#DIV/0!</v>
          </cell>
          <cell r="I151" t="e">
            <v>#DIV/0!</v>
          </cell>
          <cell r="J151" t="e">
            <v>#DIV/0!</v>
          </cell>
          <cell r="K151" t="e">
            <v>#DIV/0!</v>
          </cell>
          <cell r="L151" t="e">
            <v>#DIV/0!</v>
          </cell>
          <cell r="M151" t="e">
            <v>#DIV/0!</v>
          </cell>
          <cell r="N151" t="e">
            <v>#DIV/0!</v>
          </cell>
          <cell r="O151" t="e">
            <v>#DIV/0!</v>
          </cell>
          <cell r="P151" t="e">
            <v>#DIV/0!</v>
          </cell>
          <cell r="Q151" t="e">
            <v>#DIV/0!</v>
          </cell>
          <cell r="R151" t="e">
            <v>#DIV/0!</v>
          </cell>
          <cell r="S151" t="e">
            <v>#DIV/0!</v>
          </cell>
          <cell r="T151" t="e">
            <v>#DIV/0!</v>
          </cell>
          <cell r="U151" t="e">
            <v>#DIV/0!</v>
          </cell>
          <cell r="V151" t="e">
            <v>#DIV/0!</v>
          </cell>
          <cell r="W151" t="e">
            <v>#DIV/0!</v>
          </cell>
          <cell r="X151" t="e">
            <v>#DIV/0!</v>
          </cell>
          <cell r="Y151" t="e">
            <v>#DIV/0!</v>
          </cell>
          <cell r="Z151" t="e">
            <v>#DIV/0!</v>
          </cell>
          <cell r="AD151" t="e">
            <v>#DIV/0!</v>
          </cell>
          <cell r="AH151" t="e">
            <v>#DIV/0!</v>
          </cell>
          <cell r="AL151" t="e">
            <v>#DIV/0!</v>
          </cell>
          <cell r="AP151" t="e">
            <v>#DIV/0!</v>
          </cell>
          <cell r="AT151" t="e">
            <v>#DIV/0!</v>
          </cell>
          <cell r="AX151" t="e">
            <v>#DIV/0!</v>
          </cell>
          <cell r="AZ151" t="e">
            <v>#DIV/0!</v>
          </cell>
          <cell r="BA151" t="e">
            <v>#DIV/0!</v>
          </cell>
          <cell r="BB151" t="e">
            <v>#DIV/0!</v>
          </cell>
          <cell r="BC151" t="e">
            <v>#DIV/0!</v>
          </cell>
          <cell r="BE151" t="e">
            <v>#DIV/0!</v>
          </cell>
          <cell r="BF151" t="e">
            <v>#DIV/0!</v>
          </cell>
          <cell r="BG151" t="e">
            <v>#DIV/0!</v>
          </cell>
          <cell r="BH151" t="e">
            <v>#DIV/0!</v>
          </cell>
          <cell r="BI151" t="e">
            <v>#DIV/0!</v>
          </cell>
          <cell r="BJ151" t="e">
            <v>#DIV/0!</v>
          </cell>
          <cell r="BK151" t="e">
            <v>#DIV/0!</v>
          </cell>
          <cell r="BL151" t="e">
            <v>#DIV/0!</v>
          </cell>
        </row>
        <row r="152">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D152">
            <v>0</v>
          </cell>
          <cell r="AH152">
            <v>0</v>
          </cell>
          <cell r="AL152">
            <v>0</v>
          </cell>
          <cell r="AP152">
            <v>0</v>
          </cell>
          <cell r="AT152">
            <v>0</v>
          </cell>
          <cell r="AX152">
            <v>0</v>
          </cell>
          <cell r="AZ152">
            <v>0</v>
          </cell>
          <cell r="BA152">
            <v>0</v>
          </cell>
          <cell r="BB152">
            <v>0</v>
          </cell>
          <cell r="BC152">
            <v>0</v>
          </cell>
          <cell r="BE152">
            <v>0</v>
          </cell>
          <cell r="BF152">
            <v>0</v>
          </cell>
          <cell r="BG152">
            <v>0</v>
          </cell>
          <cell r="BH152">
            <v>0</v>
          </cell>
          <cell r="BI152">
            <v>0</v>
          </cell>
          <cell r="BJ152">
            <v>0</v>
          </cell>
          <cell r="BK152">
            <v>0</v>
          </cell>
          <cell r="BL152">
            <v>0</v>
          </cell>
        </row>
        <row r="153">
          <cell r="AZ153">
            <v>0</v>
          </cell>
          <cell r="BA153">
            <v>0</v>
          </cell>
          <cell r="BB153">
            <v>0</v>
          </cell>
          <cell r="BC153">
            <v>0</v>
          </cell>
          <cell r="BE153">
            <v>0</v>
          </cell>
          <cell r="BF153">
            <v>0</v>
          </cell>
          <cell r="BG153">
            <v>0</v>
          </cell>
          <cell r="BH153">
            <v>0</v>
          </cell>
          <cell r="BI153">
            <v>0</v>
          </cell>
          <cell r="BJ153">
            <v>0</v>
          </cell>
          <cell r="BK153">
            <v>0</v>
          </cell>
          <cell r="BL153">
            <v>0</v>
          </cell>
        </row>
        <row r="154">
          <cell r="AZ154">
            <v>0</v>
          </cell>
          <cell r="BA154">
            <v>0</v>
          </cell>
          <cell r="BB154">
            <v>0</v>
          </cell>
          <cell r="BC154">
            <v>0</v>
          </cell>
          <cell r="BE154">
            <v>0</v>
          </cell>
          <cell r="BF154">
            <v>0</v>
          </cell>
          <cell r="BG154">
            <v>0</v>
          </cell>
          <cell r="BH154">
            <v>0</v>
          </cell>
          <cell r="BI154">
            <v>0</v>
          </cell>
          <cell r="BJ154">
            <v>0</v>
          </cell>
          <cell r="BK154">
            <v>0</v>
          </cell>
          <cell r="BL154">
            <v>0</v>
          </cell>
        </row>
        <row r="157">
          <cell r="AZ157">
            <v>0</v>
          </cell>
          <cell r="BA157">
            <v>0</v>
          </cell>
          <cell r="BB157">
            <v>0</v>
          </cell>
          <cell r="BC157">
            <v>0</v>
          </cell>
          <cell r="BE157">
            <v>0</v>
          </cell>
          <cell r="BF157">
            <v>0</v>
          </cell>
          <cell r="BG157">
            <v>0</v>
          </cell>
          <cell r="BH157">
            <v>0</v>
          </cell>
          <cell r="BI157">
            <v>0</v>
          </cell>
          <cell r="BJ157">
            <v>0</v>
          </cell>
          <cell r="BK157">
            <v>0</v>
          </cell>
          <cell r="BL157">
            <v>0</v>
          </cell>
        </row>
        <row r="158">
          <cell r="AZ158">
            <v>0</v>
          </cell>
          <cell r="BA158">
            <v>0</v>
          </cell>
          <cell r="BB158">
            <v>0</v>
          </cell>
          <cell r="BC158">
            <v>0</v>
          </cell>
          <cell r="BE158">
            <v>0</v>
          </cell>
          <cell r="BF158">
            <v>0</v>
          </cell>
          <cell r="BG158">
            <v>0</v>
          </cell>
          <cell r="BH158">
            <v>0</v>
          </cell>
          <cell r="BI158">
            <v>0</v>
          </cell>
          <cell r="BJ158">
            <v>0</v>
          </cell>
          <cell r="BK158">
            <v>0</v>
          </cell>
          <cell r="BL158">
            <v>0</v>
          </cell>
        </row>
        <row r="159">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D159">
            <v>0</v>
          </cell>
          <cell r="AH159">
            <v>0</v>
          </cell>
          <cell r="AL159">
            <v>0</v>
          </cell>
          <cell r="AP159">
            <v>0</v>
          </cell>
          <cell r="AT159">
            <v>0</v>
          </cell>
          <cell r="AX159">
            <v>0</v>
          </cell>
          <cell r="AZ159">
            <v>0</v>
          </cell>
          <cell r="BA159">
            <v>0</v>
          </cell>
          <cell r="BB159">
            <v>0</v>
          </cell>
          <cell r="BC159">
            <v>0</v>
          </cell>
          <cell r="BE159">
            <v>0</v>
          </cell>
          <cell r="BF159">
            <v>0</v>
          </cell>
          <cell r="BG159">
            <v>0</v>
          </cell>
          <cell r="BH159">
            <v>0</v>
          </cell>
          <cell r="BI159">
            <v>0</v>
          </cell>
          <cell r="BJ159">
            <v>0</v>
          </cell>
          <cell r="BK159">
            <v>0</v>
          </cell>
          <cell r="BL159">
            <v>0</v>
          </cell>
        </row>
        <row r="160">
          <cell r="AZ160">
            <v>0</v>
          </cell>
          <cell r="BA160">
            <v>0</v>
          </cell>
          <cell r="BB160">
            <v>0</v>
          </cell>
          <cell r="BC160">
            <v>0</v>
          </cell>
          <cell r="BE160">
            <v>0</v>
          </cell>
          <cell r="BF160">
            <v>0</v>
          </cell>
          <cell r="BG160">
            <v>0</v>
          </cell>
          <cell r="BH160">
            <v>0</v>
          </cell>
          <cell r="BI160">
            <v>0</v>
          </cell>
          <cell r="BJ160">
            <v>0</v>
          </cell>
          <cell r="BK160">
            <v>0</v>
          </cell>
          <cell r="BL160">
            <v>0</v>
          </cell>
        </row>
        <row r="163">
          <cell r="AZ163">
            <v>0</v>
          </cell>
          <cell r="BA163">
            <v>0</v>
          </cell>
          <cell r="BB163">
            <v>0</v>
          </cell>
          <cell r="BC163">
            <v>0</v>
          </cell>
          <cell r="BE163">
            <v>0</v>
          </cell>
          <cell r="BF163">
            <v>0</v>
          </cell>
          <cell r="BG163">
            <v>0</v>
          </cell>
          <cell r="BH163">
            <v>0</v>
          </cell>
          <cell r="BI163">
            <v>0</v>
          </cell>
          <cell r="BJ163">
            <v>0</v>
          </cell>
          <cell r="BK163">
            <v>0</v>
          </cell>
          <cell r="BL163">
            <v>0</v>
          </cell>
        </row>
        <row r="164">
          <cell r="AZ164">
            <v>0</v>
          </cell>
          <cell r="BA164">
            <v>0</v>
          </cell>
          <cell r="BB164">
            <v>0</v>
          </cell>
          <cell r="BC164">
            <v>0</v>
          </cell>
          <cell r="BE164">
            <v>0</v>
          </cell>
          <cell r="BF164">
            <v>0</v>
          </cell>
          <cell r="BG164">
            <v>0</v>
          </cell>
          <cell r="BH164">
            <v>0</v>
          </cell>
          <cell r="BI164">
            <v>0</v>
          </cell>
          <cell r="BJ164">
            <v>0</v>
          </cell>
          <cell r="BK164">
            <v>0</v>
          </cell>
          <cell r="BL164">
            <v>0</v>
          </cell>
        </row>
        <row r="165">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D165">
            <v>0</v>
          </cell>
          <cell r="AH165">
            <v>0</v>
          </cell>
          <cell r="AL165">
            <v>0</v>
          </cell>
          <cell r="AP165">
            <v>0</v>
          </cell>
          <cell r="AT165">
            <v>0</v>
          </cell>
          <cell r="AX165">
            <v>0</v>
          </cell>
          <cell r="AZ165">
            <v>0</v>
          </cell>
          <cell r="BA165">
            <v>0</v>
          </cell>
          <cell r="BB165">
            <v>0</v>
          </cell>
          <cell r="BC165">
            <v>0</v>
          </cell>
          <cell r="BE165">
            <v>0</v>
          </cell>
          <cell r="BF165">
            <v>0</v>
          </cell>
          <cell r="BG165">
            <v>0</v>
          </cell>
          <cell r="BH165">
            <v>0</v>
          </cell>
          <cell r="BI165">
            <v>0</v>
          </cell>
          <cell r="BJ165">
            <v>0</v>
          </cell>
          <cell r="BK165">
            <v>0</v>
          </cell>
          <cell r="BL165">
            <v>0</v>
          </cell>
        </row>
        <row r="166">
          <cell r="AZ166">
            <v>0</v>
          </cell>
          <cell r="BA166">
            <v>0</v>
          </cell>
          <cell r="BB166">
            <v>0</v>
          </cell>
          <cell r="BC166">
            <v>0</v>
          </cell>
          <cell r="BE166">
            <v>0</v>
          </cell>
          <cell r="BF166">
            <v>0</v>
          </cell>
          <cell r="BG166">
            <v>0</v>
          </cell>
          <cell r="BH166">
            <v>0</v>
          </cell>
          <cell r="BI166">
            <v>0</v>
          </cell>
          <cell r="BJ166">
            <v>0</v>
          </cell>
          <cell r="BK166">
            <v>0</v>
          </cell>
          <cell r="BL166">
            <v>0</v>
          </cell>
        </row>
        <row r="169">
          <cell r="AZ169">
            <v>0</v>
          </cell>
          <cell r="BA169">
            <v>0</v>
          </cell>
          <cell r="BB169">
            <v>0</v>
          </cell>
          <cell r="BC169">
            <v>0</v>
          </cell>
          <cell r="BE169">
            <v>0</v>
          </cell>
          <cell r="BF169">
            <v>0</v>
          </cell>
          <cell r="BG169">
            <v>0</v>
          </cell>
          <cell r="BH169">
            <v>0</v>
          </cell>
          <cell r="BI169">
            <v>0</v>
          </cell>
          <cell r="BJ169">
            <v>0</v>
          </cell>
          <cell r="BK169">
            <v>0</v>
          </cell>
          <cell r="BL169">
            <v>0</v>
          </cell>
        </row>
        <row r="170">
          <cell r="AZ170">
            <v>0</v>
          </cell>
          <cell r="BA170">
            <v>0</v>
          </cell>
          <cell r="BB170">
            <v>0</v>
          </cell>
          <cell r="BC170">
            <v>0</v>
          </cell>
          <cell r="BE170">
            <v>0</v>
          </cell>
          <cell r="BF170">
            <v>0</v>
          </cell>
          <cell r="BG170">
            <v>0</v>
          </cell>
          <cell r="BH170">
            <v>0</v>
          </cell>
          <cell r="BI170">
            <v>0</v>
          </cell>
          <cell r="BJ170">
            <v>0</v>
          </cell>
          <cell r="BK170">
            <v>0</v>
          </cell>
          <cell r="BL170">
            <v>0</v>
          </cell>
        </row>
        <row r="171">
          <cell r="AZ171">
            <v>0</v>
          </cell>
          <cell r="BA171">
            <v>0</v>
          </cell>
          <cell r="BB171">
            <v>0</v>
          </cell>
          <cell r="BC171">
            <v>0</v>
          </cell>
          <cell r="BE171">
            <v>0</v>
          </cell>
          <cell r="BF171">
            <v>0</v>
          </cell>
          <cell r="BG171">
            <v>0</v>
          </cell>
          <cell r="BH171">
            <v>0</v>
          </cell>
          <cell r="BI171">
            <v>0</v>
          </cell>
          <cell r="BJ171">
            <v>0</v>
          </cell>
          <cell r="BK171">
            <v>0</v>
          </cell>
          <cell r="BL171">
            <v>0</v>
          </cell>
        </row>
        <row r="172">
          <cell r="AZ172">
            <v>0</v>
          </cell>
          <cell r="BA172">
            <v>0</v>
          </cell>
          <cell r="BB172">
            <v>0</v>
          </cell>
          <cell r="BC172">
            <v>0</v>
          </cell>
          <cell r="BE172">
            <v>0</v>
          </cell>
          <cell r="BF172">
            <v>0</v>
          </cell>
          <cell r="BG172">
            <v>0</v>
          </cell>
          <cell r="BH172">
            <v>0</v>
          </cell>
          <cell r="BI172">
            <v>0</v>
          </cell>
          <cell r="BJ172">
            <v>0</v>
          </cell>
          <cell r="BK172">
            <v>0</v>
          </cell>
          <cell r="BL172">
            <v>0</v>
          </cell>
        </row>
        <row r="175">
          <cell r="AZ175">
            <v>0</v>
          </cell>
          <cell r="BA175">
            <v>0</v>
          </cell>
          <cell r="BB175">
            <v>0</v>
          </cell>
          <cell r="BC175">
            <v>0</v>
          </cell>
          <cell r="BE175">
            <v>0</v>
          </cell>
          <cell r="BF175">
            <v>0</v>
          </cell>
          <cell r="BG175">
            <v>0</v>
          </cell>
          <cell r="BH175">
            <v>0</v>
          </cell>
          <cell r="BI175">
            <v>0</v>
          </cell>
          <cell r="BJ175">
            <v>0</v>
          </cell>
          <cell r="BK175">
            <v>0</v>
          </cell>
          <cell r="BL175">
            <v>0</v>
          </cell>
        </row>
        <row r="176">
          <cell r="AZ176">
            <v>0</v>
          </cell>
          <cell r="BA176">
            <v>0</v>
          </cell>
          <cell r="BB176">
            <v>0</v>
          </cell>
          <cell r="BC176">
            <v>0</v>
          </cell>
          <cell r="BE176">
            <v>0</v>
          </cell>
          <cell r="BF176">
            <v>0</v>
          </cell>
          <cell r="BG176">
            <v>0</v>
          </cell>
          <cell r="BH176">
            <v>0</v>
          </cell>
          <cell r="BI176">
            <v>0</v>
          </cell>
          <cell r="BJ176">
            <v>0</v>
          </cell>
          <cell r="BK176">
            <v>0</v>
          </cell>
          <cell r="BL176">
            <v>0</v>
          </cell>
        </row>
        <row r="177">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D177">
            <v>0</v>
          </cell>
          <cell r="AH177">
            <v>0</v>
          </cell>
          <cell r="AL177">
            <v>0</v>
          </cell>
          <cell r="AP177">
            <v>0</v>
          </cell>
          <cell r="AT177">
            <v>0</v>
          </cell>
          <cell r="AX177">
            <v>0</v>
          </cell>
          <cell r="AZ177">
            <v>0</v>
          </cell>
          <cell r="BA177">
            <v>0</v>
          </cell>
          <cell r="BB177">
            <v>0</v>
          </cell>
          <cell r="BC177">
            <v>0</v>
          </cell>
          <cell r="BE177">
            <v>0</v>
          </cell>
          <cell r="BF177">
            <v>0</v>
          </cell>
          <cell r="BG177">
            <v>0</v>
          </cell>
          <cell r="BH177">
            <v>0</v>
          </cell>
          <cell r="BI177">
            <v>0</v>
          </cell>
          <cell r="BJ177">
            <v>0</v>
          </cell>
          <cell r="BK177">
            <v>0</v>
          </cell>
          <cell r="BL177">
            <v>0</v>
          </cell>
        </row>
        <row r="178">
          <cell r="AZ178">
            <v>0</v>
          </cell>
          <cell r="BA178">
            <v>0</v>
          </cell>
          <cell r="BB178">
            <v>0</v>
          </cell>
          <cell r="BC178">
            <v>0</v>
          </cell>
          <cell r="BE178">
            <v>0</v>
          </cell>
          <cell r="BF178">
            <v>0</v>
          </cell>
          <cell r="BG178">
            <v>0</v>
          </cell>
          <cell r="BH178">
            <v>0</v>
          </cell>
          <cell r="BI178">
            <v>0</v>
          </cell>
          <cell r="BJ178">
            <v>0</v>
          </cell>
          <cell r="BK178">
            <v>0</v>
          </cell>
          <cell r="BL178">
            <v>0</v>
          </cell>
        </row>
        <row r="181">
          <cell r="AZ181">
            <v>0</v>
          </cell>
          <cell r="BA181">
            <v>0</v>
          </cell>
          <cell r="BB181">
            <v>0</v>
          </cell>
          <cell r="BC181">
            <v>0</v>
          </cell>
          <cell r="BE181">
            <v>0</v>
          </cell>
          <cell r="BF181">
            <v>0</v>
          </cell>
          <cell r="BG181">
            <v>0</v>
          </cell>
          <cell r="BH181">
            <v>0</v>
          </cell>
          <cell r="BI181">
            <v>0</v>
          </cell>
          <cell r="BJ181">
            <v>0</v>
          </cell>
          <cell r="BK181">
            <v>0</v>
          </cell>
          <cell r="BL181">
            <v>0</v>
          </cell>
        </row>
        <row r="182">
          <cell r="AZ182">
            <v>0</v>
          </cell>
          <cell r="BA182">
            <v>0</v>
          </cell>
          <cell r="BB182">
            <v>0</v>
          </cell>
          <cell r="BC182">
            <v>0</v>
          </cell>
          <cell r="BE182">
            <v>0</v>
          </cell>
          <cell r="BF182">
            <v>0</v>
          </cell>
          <cell r="BG182">
            <v>0</v>
          </cell>
          <cell r="BH182">
            <v>0</v>
          </cell>
          <cell r="BI182">
            <v>0</v>
          </cell>
          <cell r="BJ182">
            <v>0</v>
          </cell>
          <cell r="BK182">
            <v>0</v>
          </cell>
          <cell r="BL182">
            <v>0</v>
          </cell>
        </row>
        <row r="183">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D183">
            <v>0</v>
          </cell>
          <cell r="AH183">
            <v>0</v>
          </cell>
          <cell r="AL183">
            <v>0</v>
          </cell>
          <cell r="AP183">
            <v>0</v>
          </cell>
          <cell r="AT183">
            <v>0</v>
          </cell>
          <cell r="AX183">
            <v>0</v>
          </cell>
          <cell r="AZ183">
            <v>0</v>
          </cell>
          <cell r="BA183">
            <v>0</v>
          </cell>
          <cell r="BB183">
            <v>0</v>
          </cell>
          <cell r="BC183">
            <v>0</v>
          </cell>
          <cell r="BE183">
            <v>0</v>
          </cell>
          <cell r="BF183">
            <v>0</v>
          </cell>
          <cell r="BG183">
            <v>0</v>
          </cell>
          <cell r="BH183">
            <v>0</v>
          </cell>
          <cell r="BI183">
            <v>0</v>
          </cell>
          <cell r="BJ183">
            <v>0</v>
          </cell>
          <cell r="BK183">
            <v>0</v>
          </cell>
          <cell r="BL183">
            <v>0</v>
          </cell>
        </row>
        <row r="184">
          <cell r="AZ184">
            <v>0</v>
          </cell>
          <cell r="BA184">
            <v>0</v>
          </cell>
          <cell r="BB184">
            <v>0</v>
          </cell>
          <cell r="BC184">
            <v>0</v>
          </cell>
          <cell r="BE184">
            <v>0</v>
          </cell>
          <cell r="BF184">
            <v>0</v>
          </cell>
          <cell r="BG184">
            <v>0</v>
          </cell>
          <cell r="BH184">
            <v>0</v>
          </cell>
          <cell r="BI184">
            <v>0</v>
          </cell>
          <cell r="BJ184">
            <v>0</v>
          </cell>
          <cell r="BK184">
            <v>0</v>
          </cell>
          <cell r="BL184">
            <v>0</v>
          </cell>
        </row>
        <row r="187">
          <cell r="AZ187">
            <v>0</v>
          </cell>
          <cell r="BA187">
            <v>0</v>
          </cell>
          <cell r="BB187">
            <v>0</v>
          </cell>
          <cell r="BC187">
            <v>0</v>
          </cell>
          <cell r="BE187">
            <v>0</v>
          </cell>
          <cell r="BF187">
            <v>0</v>
          </cell>
          <cell r="BG187">
            <v>0</v>
          </cell>
          <cell r="BH187">
            <v>0</v>
          </cell>
          <cell r="BI187">
            <v>0</v>
          </cell>
          <cell r="BJ187">
            <v>0</v>
          </cell>
          <cell r="BK187">
            <v>0</v>
          </cell>
          <cell r="BL187">
            <v>0</v>
          </cell>
        </row>
        <row r="188">
          <cell r="AZ188">
            <v>0</v>
          </cell>
          <cell r="BA188">
            <v>0</v>
          </cell>
          <cell r="BB188">
            <v>0</v>
          </cell>
          <cell r="BC188">
            <v>0</v>
          </cell>
          <cell r="BE188">
            <v>0</v>
          </cell>
          <cell r="BF188">
            <v>0</v>
          </cell>
          <cell r="BG188">
            <v>0</v>
          </cell>
          <cell r="BH188">
            <v>0</v>
          </cell>
          <cell r="BI188">
            <v>0</v>
          </cell>
          <cell r="BJ188">
            <v>0</v>
          </cell>
          <cell r="BK188">
            <v>0</v>
          </cell>
          <cell r="BL188">
            <v>0</v>
          </cell>
        </row>
        <row r="189">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D189">
            <v>0</v>
          </cell>
          <cell r="AH189">
            <v>0</v>
          </cell>
          <cell r="AL189">
            <v>0</v>
          </cell>
          <cell r="AP189">
            <v>0</v>
          </cell>
          <cell r="AT189">
            <v>0</v>
          </cell>
          <cell r="AX189">
            <v>0</v>
          </cell>
          <cell r="AZ189">
            <v>0</v>
          </cell>
          <cell r="BA189">
            <v>0</v>
          </cell>
          <cell r="BB189">
            <v>0</v>
          </cell>
          <cell r="BC189">
            <v>0</v>
          </cell>
          <cell r="BE189">
            <v>0</v>
          </cell>
          <cell r="BF189">
            <v>0</v>
          </cell>
          <cell r="BG189">
            <v>0</v>
          </cell>
          <cell r="BH189">
            <v>0</v>
          </cell>
          <cell r="BI189">
            <v>0</v>
          </cell>
          <cell r="BJ189">
            <v>0</v>
          </cell>
          <cell r="BK189">
            <v>0</v>
          </cell>
          <cell r="BL189">
            <v>0</v>
          </cell>
        </row>
        <row r="190">
          <cell r="AZ190">
            <v>0</v>
          </cell>
          <cell r="BA190">
            <v>0</v>
          </cell>
          <cell r="BB190">
            <v>0</v>
          </cell>
          <cell r="BC190">
            <v>0</v>
          </cell>
          <cell r="BE190">
            <v>0</v>
          </cell>
          <cell r="BF190">
            <v>0</v>
          </cell>
          <cell r="BG190">
            <v>0</v>
          </cell>
          <cell r="BH190">
            <v>0</v>
          </cell>
          <cell r="BI190">
            <v>0</v>
          </cell>
          <cell r="BJ190">
            <v>0</v>
          </cell>
          <cell r="BK190">
            <v>0</v>
          </cell>
          <cell r="BL190">
            <v>0</v>
          </cell>
        </row>
        <row r="193">
          <cell r="AZ193">
            <v>0</v>
          </cell>
          <cell r="BA193">
            <v>0</v>
          </cell>
          <cell r="BB193">
            <v>0</v>
          </cell>
          <cell r="BC193">
            <v>0</v>
          </cell>
          <cell r="BE193">
            <v>0</v>
          </cell>
          <cell r="BF193">
            <v>0</v>
          </cell>
          <cell r="BG193">
            <v>0</v>
          </cell>
          <cell r="BH193">
            <v>0</v>
          </cell>
          <cell r="BI193">
            <v>0</v>
          </cell>
          <cell r="BJ193">
            <v>0</v>
          </cell>
          <cell r="BK193">
            <v>0</v>
          </cell>
          <cell r="BL193">
            <v>0</v>
          </cell>
        </row>
        <row r="194">
          <cell r="AZ194">
            <v>0</v>
          </cell>
          <cell r="BA194">
            <v>0</v>
          </cell>
          <cell r="BB194">
            <v>0</v>
          </cell>
          <cell r="BC194">
            <v>0</v>
          </cell>
          <cell r="BE194">
            <v>0</v>
          </cell>
          <cell r="BF194">
            <v>0</v>
          </cell>
          <cell r="BG194">
            <v>0</v>
          </cell>
          <cell r="BH194">
            <v>0</v>
          </cell>
          <cell r="BI194">
            <v>0</v>
          </cell>
          <cell r="BJ194">
            <v>0</v>
          </cell>
          <cell r="BK194">
            <v>0</v>
          </cell>
          <cell r="BL194">
            <v>0</v>
          </cell>
        </row>
        <row r="195">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D195">
            <v>0</v>
          </cell>
          <cell r="AH195">
            <v>0</v>
          </cell>
          <cell r="AL195">
            <v>0</v>
          </cell>
          <cell r="AP195">
            <v>0</v>
          </cell>
          <cell r="AT195">
            <v>0</v>
          </cell>
          <cell r="AX195">
            <v>0</v>
          </cell>
          <cell r="AZ195">
            <v>0</v>
          </cell>
          <cell r="BA195">
            <v>0</v>
          </cell>
          <cell r="BB195">
            <v>0</v>
          </cell>
          <cell r="BC195">
            <v>0</v>
          </cell>
          <cell r="BE195">
            <v>0</v>
          </cell>
          <cell r="BF195">
            <v>0</v>
          </cell>
          <cell r="BG195">
            <v>0</v>
          </cell>
          <cell r="BH195">
            <v>0</v>
          </cell>
          <cell r="BI195">
            <v>0</v>
          </cell>
          <cell r="BJ195">
            <v>0</v>
          </cell>
          <cell r="BK195">
            <v>0</v>
          </cell>
          <cell r="BL195">
            <v>0</v>
          </cell>
        </row>
        <row r="196">
          <cell r="AZ196">
            <v>0</v>
          </cell>
          <cell r="BA196">
            <v>0</v>
          </cell>
          <cell r="BB196">
            <v>0</v>
          </cell>
          <cell r="BC196">
            <v>0</v>
          </cell>
          <cell r="BE196">
            <v>0</v>
          </cell>
          <cell r="BF196">
            <v>0</v>
          </cell>
          <cell r="BG196">
            <v>0</v>
          </cell>
          <cell r="BH196">
            <v>0</v>
          </cell>
          <cell r="BI196">
            <v>0</v>
          </cell>
          <cell r="BJ196">
            <v>0</v>
          </cell>
          <cell r="BK196">
            <v>0</v>
          </cell>
          <cell r="BL196">
            <v>0</v>
          </cell>
        </row>
        <row r="199">
          <cell r="AZ199">
            <v>0</v>
          </cell>
          <cell r="BA199">
            <v>0</v>
          </cell>
          <cell r="BB199">
            <v>0</v>
          </cell>
          <cell r="BC199">
            <v>0</v>
          </cell>
          <cell r="BE199">
            <v>0</v>
          </cell>
          <cell r="BF199">
            <v>0</v>
          </cell>
          <cell r="BG199">
            <v>0</v>
          </cell>
          <cell r="BH199">
            <v>0</v>
          </cell>
          <cell r="BI199">
            <v>0</v>
          </cell>
          <cell r="BJ199">
            <v>0</v>
          </cell>
          <cell r="BK199">
            <v>0</v>
          </cell>
          <cell r="BL199">
            <v>0</v>
          </cell>
        </row>
        <row r="200">
          <cell r="AZ200">
            <v>0</v>
          </cell>
          <cell r="BA200">
            <v>0</v>
          </cell>
          <cell r="BB200">
            <v>0</v>
          </cell>
          <cell r="BC200">
            <v>0</v>
          </cell>
          <cell r="BE200">
            <v>0</v>
          </cell>
          <cell r="BF200">
            <v>0</v>
          </cell>
          <cell r="BG200">
            <v>0</v>
          </cell>
          <cell r="BH200">
            <v>0</v>
          </cell>
          <cell r="BI200">
            <v>0</v>
          </cell>
          <cell r="BJ200">
            <v>0</v>
          </cell>
          <cell r="BK200">
            <v>0</v>
          </cell>
          <cell r="BL200">
            <v>0</v>
          </cell>
        </row>
        <row r="201">
          <cell r="AZ201">
            <v>0</v>
          </cell>
          <cell r="BA201">
            <v>0</v>
          </cell>
          <cell r="BB201">
            <v>0</v>
          </cell>
          <cell r="BC201">
            <v>0</v>
          </cell>
          <cell r="BE201">
            <v>0</v>
          </cell>
          <cell r="BF201">
            <v>0</v>
          </cell>
          <cell r="BG201">
            <v>0</v>
          </cell>
          <cell r="BH201">
            <v>0</v>
          </cell>
          <cell r="BI201">
            <v>0</v>
          </cell>
          <cell r="BJ201">
            <v>0</v>
          </cell>
          <cell r="BK201">
            <v>0</v>
          </cell>
          <cell r="BL201">
            <v>0</v>
          </cell>
        </row>
        <row r="202">
          <cell r="AZ202">
            <v>0</v>
          </cell>
          <cell r="BA202">
            <v>0</v>
          </cell>
          <cell r="BB202">
            <v>0</v>
          </cell>
          <cell r="BC202">
            <v>0</v>
          </cell>
          <cell r="BE202">
            <v>0</v>
          </cell>
          <cell r="BF202">
            <v>0</v>
          </cell>
          <cell r="BG202">
            <v>0</v>
          </cell>
          <cell r="BH202">
            <v>0</v>
          </cell>
          <cell r="BI202">
            <v>0</v>
          </cell>
          <cell r="BJ202">
            <v>0</v>
          </cell>
          <cell r="BK202">
            <v>0</v>
          </cell>
          <cell r="BL202">
            <v>0</v>
          </cell>
        </row>
        <row r="206">
          <cell r="D206">
            <v>113450.28</v>
          </cell>
          <cell r="E206">
            <v>55213.84</v>
          </cell>
          <cell r="F206">
            <v>82061.08</v>
          </cell>
          <cell r="G206">
            <v>95703.38</v>
          </cell>
          <cell r="H206">
            <v>103431.03</v>
          </cell>
          <cell r="I206">
            <v>44184.59</v>
          </cell>
          <cell r="J206">
            <v>70262.8</v>
          </cell>
          <cell r="K206">
            <v>99430.449999999983</v>
          </cell>
          <cell r="L206">
            <v>72904.599999999991</v>
          </cell>
          <cell r="M206">
            <v>41848.619999999995</v>
          </cell>
          <cell r="N206">
            <v>74751.55</v>
          </cell>
          <cell r="O206">
            <v>92989.53</v>
          </cell>
          <cell r="P206">
            <v>12630.72</v>
          </cell>
          <cell r="Q206">
            <v>35518.54</v>
          </cell>
          <cell r="R206">
            <v>73073.78</v>
          </cell>
          <cell r="S206">
            <v>95559.23000000001</v>
          </cell>
          <cell r="T206">
            <v>16179.57</v>
          </cell>
          <cell r="U206">
            <v>41664.51</v>
          </cell>
          <cell r="V206">
            <v>77403.64</v>
          </cell>
          <cell r="W206">
            <v>93037.82</v>
          </cell>
          <cell r="X206">
            <v>15764.289999999999</v>
          </cell>
          <cell r="Y206">
            <v>45745.279999999999</v>
          </cell>
          <cell r="Z206">
            <v>74920.989999999991</v>
          </cell>
          <cell r="AD206">
            <v>0</v>
          </cell>
          <cell r="AH206">
            <v>0</v>
          </cell>
          <cell r="AL206">
            <v>0</v>
          </cell>
          <cell r="AP206">
            <v>0</v>
          </cell>
          <cell r="AT206">
            <v>0</v>
          </cell>
          <cell r="AX206">
            <v>0</v>
          </cell>
          <cell r="AZ206">
            <v>584404.73</v>
          </cell>
          <cell r="BA206">
            <v>334360.48999999993</v>
          </cell>
          <cell r="BB206">
            <v>264175.38</v>
          </cell>
          <cell r="BC206">
            <v>452473.83999999997</v>
          </cell>
          <cell r="BE206">
            <v>302818.14999999997</v>
          </cell>
          <cell r="BF206">
            <v>289785.90999999997</v>
          </cell>
          <cell r="BG206">
            <v>141247.04999999999</v>
          </cell>
          <cell r="BH206">
            <v>227075.43</v>
          </cell>
          <cell r="BI206">
            <v>281586.58</v>
          </cell>
          <cell r="BJ206">
            <v>44574.58</v>
          </cell>
          <cell r="BK206">
            <v>122928.33</v>
          </cell>
          <cell r="BL206">
            <v>225398.40999999997</v>
          </cell>
        </row>
        <row r="209">
          <cell r="D209">
            <v>112463.85937674824</v>
          </cell>
          <cell r="E209">
            <v>56226.882628477601</v>
          </cell>
          <cell r="F209">
            <v>83246.445114937</v>
          </cell>
          <cell r="G209">
            <v>101926.06906210593</v>
          </cell>
          <cell r="H209">
            <v>103726.71326352478</v>
          </cell>
          <cell r="I209">
            <v>45213.321052769199</v>
          </cell>
          <cell r="J209">
            <v>72287.857900000003</v>
          </cell>
          <cell r="K209">
            <v>106501.6298800623</v>
          </cell>
          <cell r="L209">
            <v>70297.341933406715</v>
          </cell>
          <cell r="M209">
            <v>42428.351918787099</v>
          </cell>
          <cell r="N209">
            <v>76862.37</v>
          </cell>
          <cell r="O209">
            <v>99548.162605257094</v>
          </cell>
          <cell r="P209">
            <v>17377.841557014399</v>
          </cell>
          <cell r="Q209">
            <v>38156.015399682903</v>
          </cell>
          <cell r="R209">
            <v>75483.869022504994</v>
          </cell>
          <cell r="S209">
            <v>100740.69264186965</v>
          </cell>
          <cell r="T209">
            <v>23615.4378630028</v>
          </cell>
          <cell r="U209">
            <v>44931.747692007004</v>
          </cell>
          <cell r="V209">
            <v>79021.481</v>
          </cell>
          <cell r="W209">
            <v>99957.312023721141</v>
          </cell>
          <cell r="X209">
            <v>25328.630245631099</v>
          </cell>
          <cell r="Y209">
            <v>45208.45</v>
          </cell>
          <cell r="Z209">
            <v>76549.200000000012</v>
          </cell>
          <cell r="AD209">
            <v>0</v>
          </cell>
          <cell r="AH209">
            <v>0</v>
          </cell>
          <cell r="AL209">
            <v>0</v>
          </cell>
          <cell r="AP209">
            <v>0</v>
          </cell>
          <cell r="AT209">
            <v>0</v>
          </cell>
          <cell r="AX209">
            <v>0</v>
          </cell>
          <cell r="AZ209">
            <v>622483.23109650158</v>
          </cell>
          <cell r="BA209">
            <v>352809.82423932804</v>
          </cell>
          <cell r="BB209">
            <v>272164.76869172382</v>
          </cell>
          <cell r="BC209">
            <v>463451.22303744202</v>
          </cell>
          <cell r="BE209">
            <v>322237.06382565363</v>
          </cell>
          <cell r="BF209">
            <v>286487.91457367974</v>
          </cell>
          <cell r="BG209">
            <v>143868.5556000339</v>
          </cell>
          <cell r="BH209">
            <v>232396.673014937</v>
          </cell>
          <cell r="BI209">
            <v>300246.16727084789</v>
          </cell>
          <cell r="BJ209">
            <v>66321.909665648302</v>
          </cell>
          <cell r="BK209">
            <v>128296.2130916899</v>
          </cell>
          <cell r="BL209">
            <v>231054.55002250499</v>
          </cell>
        </row>
        <row r="210">
          <cell r="D210">
            <v>2.4471049503519193</v>
          </cell>
          <cell r="E210">
            <v>1.7015028910783787</v>
          </cell>
          <cell r="F210">
            <v>2.9253665192870417</v>
          </cell>
          <cell r="G210">
            <v>2.4006607324103979</v>
          </cell>
          <cell r="H210">
            <v>2.2545359408289549</v>
          </cell>
          <cell r="I210">
            <v>1.8646342412292352</v>
          </cell>
          <cell r="J210">
            <v>3.3229303278633324</v>
          </cell>
          <cell r="K210">
            <v>2.2800110289041284</v>
          </cell>
          <cell r="L210">
            <v>2.0384237294044265</v>
          </cell>
          <cell r="M210">
            <v>2.0181325504974645</v>
          </cell>
          <cell r="N210">
            <v>3.4716028879200187</v>
          </cell>
          <cell r="O210">
            <v>2.3514569462283399</v>
          </cell>
          <cell r="P210">
            <v>1.3131672519928472</v>
          </cell>
          <cell r="Q210">
            <v>1.9964308049416177</v>
          </cell>
          <cell r="R210">
            <v>3.9356581790318548</v>
          </cell>
          <cell r="S210">
            <v>2.5104517582266728</v>
          </cell>
          <cell r="T210">
            <v>0.78455507185573903</v>
          </cell>
          <cell r="U210">
            <v>2.0284128204936773</v>
          </cell>
          <cell r="V210">
            <v>4.0606397125307101</v>
          </cell>
          <cell r="W210">
            <v>2.3446870842519365</v>
          </cell>
          <cell r="X210">
            <v>1.4128904083739262</v>
          </cell>
          <cell r="Y210">
            <v>2.2154662562682863</v>
          </cell>
          <cell r="Z210">
            <v>4.3233825071706562</v>
          </cell>
          <cell r="AD210" t="e">
            <v>#DIV/0!</v>
          </cell>
          <cell r="AH210" t="e">
            <v>#DIV/0!</v>
          </cell>
          <cell r="AL210" t="e">
            <v>#DIV/0!</v>
          </cell>
          <cell r="AP210" t="e">
            <v>#DIV/0!</v>
          </cell>
          <cell r="AT210" t="e">
            <v>#DIV/0!</v>
          </cell>
          <cell r="AX210" t="e">
            <v>#DIV/0!</v>
          </cell>
          <cell r="AZ210">
            <v>2.358147147213721</v>
          </cell>
          <cell r="BA210">
            <v>2.0676761036939424</v>
          </cell>
          <cell r="BB210">
            <v>1.958652927980679</v>
          </cell>
          <cell r="BC210">
            <v>3.6670039100987659</v>
          </cell>
          <cell r="BE210">
            <v>2.3167743674383816</v>
          </cell>
          <cell r="BF210">
            <v>2.2771021282872845</v>
          </cell>
          <cell r="BG210">
            <v>1.8461473176461545</v>
          </cell>
          <cell r="BH210">
            <v>3.2296912630811332</v>
          </cell>
          <cell r="BI210">
            <v>2.402550188885471</v>
          </cell>
          <cell r="BJ210">
            <v>1.1630274687907316</v>
          </cell>
          <cell r="BK210">
            <v>2.0848142484567607</v>
          </cell>
          <cell r="BL210">
            <v>4.1068567683279351</v>
          </cell>
        </row>
        <row r="211">
          <cell r="D211">
            <v>991.30526056655162</v>
          </cell>
          <cell r="E211">
            <v>1018.3476213296811</v>
          </cell>
          <cell r="F211">
            <v>1014.4449124351884</v>
          </cell>
          <cell r="G211">
            <v>1065.0205777696244</v>
          </cell>
          <cell r="H211">
            <v>1002.8587481293069</v>
          </cell>
          <cell r="I211">
            <v>1023.2825755035682</v>
          </cell>
          <cell r="J211">
            <v>1028.8211955686365</v>
          </cell>
          <cell r="K211">
            <v>1071.1168447901255</v>
          </cell>
          <cell r="L211">
            <v>964.2373997444156</v>
          </cell>
          <cell r="M211">
            <v>1013.8530713506706</v>
          </cell>
          <cell r="N211">
            <v>1028.2378091156636</v>
          </cell>
          <cell r="O211">
            <v>1070.5308716503578</v>
          </cell>
          <cell r="P211">
            <v>1375.8393470059032</v>
          </cell>
          <cell r="Q211">
            <v>1074.2563010665108</v>
          </cell>
          <cell r="R211">
            <v>1032.9815841264131</v>
          </cell>
          <cell r="S211">
            <v>1054.2225239976258</v>
          </cell>
          <cell r="T211">
            <v>1459.5837752797388</v>
          </cell>
          <cell r="U211">
            <v>1078.4177635116075</v>
          </cell>
          <cell r="V211">
            <v>1020.901355543486</v>
          </cell>
          <cell r="W211">
            <v>1074.3728950626867</v>
          </cell>
          <cell r="X211">
            <v>1606.7092298880002</v>
          </cell>
          <cell r="Y211">
            <v>988.26480021545399</v>
          </cell>
          <cell r="Z211">
            <v>1021.7323609845521</v>
          </cell>
          <cell r="AD211" t="e">
            <v>#DIV/0!</v>
          </cell>
          <cell r="AH211" t="e">
            <v>#DIV/0!</v>
          </cell>
          <cell r="AL211" t="e">
            <v>#DIV/0!</v>
          </cell>
          <cell r="AP211" t="e">
            <v>#DIV/0!</v>
          </cell>
          <cell r="AT211" t="e">
            <v>#DIV/0!</v>
          </cell>
          <cell r="AX211" t="e">
            <v>#DIV/0!</v>
          </cell>
          <cell r="AZ211">
            <v>1065.1577565029318</v>
          </cell>
          <cell r="BA211">
            <v>1055.1779734481431</v>
          </cell>
          <cell r="BB211">
            <v>1030.2427451480294</v>
          </cell>
          <cell r="BC211">
            <v>1024.2608125973472</v>
          </cell>
          <cell r="BE211">
            <v>1064.1273114760581</v>
          </cell>
          <cell r="BF211">
            <v>988.61920020086473</v>
          </cell>
          <cell r="BG211">
            <v>1018.5597193005724</v>
          </cell>
          <cell r="BH211">
            <v>1023.4338123456905</v>
          </cell>
          <cell r="BI211">
            <v>1066.2658968721018</v>
          </cell>
          <cell r="BJ211">
            <v>1487.8863618153732</v>
          </cell>
          <cell r="BK211">
            <v>1043.666769829948</v>
          </cell>
          <cell r="BL211">
            <v>1025.0939659357182</v>
          </cell>
        </row>
        <row r="212">
          <cell r="D212">
            <v>2.423604535745739</v>
          </cell>
          <cell r="E212">
            <v>1.7040593194855831</v>
          </cell>
          <cell r="F212">
            <v>2.9471674382030897</v>
          </cell>
          <cell r="G212">
            <v>2.3546489580246277</v>
          </cell>
          <cell r="H212">
            <v>2.1970525214147218</v>
          </cell>
          <cell r="I212">
            <v>1.8732752012583385</v>
          </cell>
          <cell r="J212">
            <v>3.3480361900748066</v>
          </cell>
          <cell r="K212">
            <v>2.2759867346523674</v>
          </cell>
          <cell r="L212">
            <v>1.9571913466924939</v>
          </cell>
          <cell r="M212">
            <v>2.0271309556377535</v>
          </cell>
          <cell r="N212">
            <v>3.4952145590147299</v>
          </cell>
          <cell r="O212">
            <v>2.3686056531287702</v>
          </cell>
          <cell r="P212">
            <v>1.3131672519928472</v>
          </cell>
          <cell r="Q212">
            <v>2.0074546237443402</v>
          </cell>
          <cell r="R212">
            <v>3.9643847934473602</v>
          </cell>
          <cell r="S212">
            <v>2.4836205552507358</v>
          </cell>
          <cell r="T212">
            <v>0.78455507185573903</v>
          </cell>
          <cell r="U212">
            <v>2.0377742413510016</v>
          </cell>
          <cell r="V212">
            <v>4.0880803017547978</v>
          </cell>
          <cell r="W212">
            <v>2.3119011256260178</v>
          </cell>
          <cell r="X212">
            <v>1.4128904083739262</v>
          </cell>
          <cell r="Y212">
            <v>2.2245715230934042</v>
          </cell>
          <cell r="Z212">
            <v>4.3517093348840739</v>
          </cell>
          <cell r="AD212" t="e">
            <v>#DIV/0!</v>
          </cell>
          <cell r="AH212" t="e">
            <v>#DIV/0!</v>
          </cell>
          <cell r="AL212" t="e">
            <v>#DIV/0!</v>
          </cell>
          <cell r="AP212" t="e">
            <v>#DIV/0!</v>
          </cell>
          <cell r="AT212" t="e">
            <v>#DIV/0!</v>
          </cell>
          <cell r="AX212" t="e">
            <v>#DIV/0!</v>
          </cell>
          <cell r="AZ212">
            <v>2.3368195821802793</v>
          </cell>
          <cell r="BA212">
            <v>2.0270991892018828</v>
          </cell>
          <cell r="BB212">
            <v>1.9666227288128248</v>
          </cell>
          <cell r="BC212">
            <v>3.6927881445683219</v>
          </cell>
          <cell r="BE212">
            <v>2.288835360419859</v>
          </cell>
          <cell r="BF212">
            <v>2.2271316641180672</v>
          </cell>
          <cell r="BG212">
            <v>1.8525157280064219</v>
          </cell>
          <cell r="BH212">
            <v>3.2531190812566977</v>
          </cell>
          <cell r="BI212">
            <v>2.3883183069453109</v>
          </cell>
          <cell r="BJ212">
            <v>1.1630274687907316</v>
          </cell>
          <cell r="BK212">
            <v>2.0945798133928406</v>
          </cell>
          <cell r="BL212">
            <v>4.1350111067703779</v>
          </cell>
        </row>
        <row r="214">
          <cell r="D214">
            <v>-1345.5055067371577</v>
          </cell>
          <cell r="E214">
            <v>-56236.976748270637</v>
          </cell>
          <cell r="F214">
            <v>27019.562486459399</v>
          </cell>
          <cell r="G214">
            <v>8135.4014934075385</v>
          </cell>
          <cell r="H214">
            <v>1800.6442014188506</v>
          </cell>
          <cell r="I214">
            <v>-58513.392210755585</v>
          </cell>
          <cell r="J214">
            <v>27074.536847230804</v>
          </cell>
          <cell r="K214">
            <v>5741.0331275367062</v>
          </cell>
          <cell r="L214">
            <v>-36204.28794665559</v>
          </cell>
          <cell r="M214">
            <v>-27868.990014619616</v>
          </cell>
          <cell r="N214">
            <v>34434.018081212897</v>
          </cell>
          <cell r="O214">
            <v>8290.5777630732919</v>
          </cell>
          <cell r="P214">
            <v>-82170.321048242695</v>
          </cell>
          <cell r="Q214">
            <v>20778.173842668504</v>
          </cell>
          <cell r="R214">
            <v>37327.853622822091</v>
          </cell>
          <cell r="S214">
            <v>4184.3085258244537</v>
          </cell>
          <cell r="T214">
            <v>-77125.25477886686</v>
          </cell>
          <cell r="U214">
            <v>21316.309829004203</v>
          </cell>
          <cell r="V214">
            <v>34089.733307992996</v>
          </cell>
          <cell r="W214">
            <v>6427.8165579029301</v>
          </cell>
          <cell r="X214">
            <v>-74628.681778090046</v>
          </cell>
          <cell r="Y214">
            <v>19879.819754368898</v>
          </cell>
          <cell r="Z214">
            <v>31340.750000000015</v>
          </cell>
          <cell r="AD214">
            <v>0</v>
          </cell>
          <cell r="AH214">
            <v>0</v>
          </cell>
          <cell r="AL214">
            <v>0</v>
          </cell>
          <cell r="AP214">
            <v>0</v>
          </cell>
          <cell r="AT214">
            <v>0</v>
          </cell>
          <cell r="AX214">
            <v>0</v>
          </cell>
          <cell r="BA214">
            <v>-269673.40685717354</v>
          </cell>
          <cell r="BB214">
            <v>-80645.055547604221</v>
          </cell>
          <cell r="BC214">
            <v>191286.4543457182</v>
          </cell>
          <cell r="BE214">
            <v>322237.06382565363</v>
          </cell>
          <cell r="BF214">
            <v>-35749.149251973897</v>
          </cell>
          <cell r="BG214">
            <v>-142619.35897364584</v>
          </cell>
          <cell r="BH214">
            <v>88528.117414903099</v>
          </cell>
          <cell r="BI214">
            <v>300246.16727084789</v>
          </cell>
          <cell r="BJ214">
            <v>-233924.25760519959</v>
          </cell>
          <cell r="BK214">
            <v>61974.303426041603</v>
          </cell>
          <cell r="BL214">
            <v>102758.33693081509</v>
          </cell>
        </row>
        <row r="215">
          <cell r="D215">
            <v>0.17105528039797768</v>
          </cell>
          <cell r="E215">
            <v>-0.74560205927354062</v>
          </cell>
          <cell r="F215">
            <v>1.223863628208663</v>
          </cell>
          <cell r="G215">
            <v>-0.10416243352614574</v>
          </cell>
          <cell r="H215">
            <v>-0.14612479158144298</v>
          </cell>
          <cell r="I215">
            <v>-0.38990169959971976</v>
          </cell>
          <cell r="J215">
            <v>1.4582960866340973</v>
          </cell>
          <cell r="K215">
            <v>-8.5290752815820436E-2</v>
          </cell>
          <cell r="L215">
            <v>-0.24158729949970192</v>
          </cell>
          <cell r="M215">
            <v>-2.0291178906961971E-2</v>
          </cell>
          <cell r="N215">
            <v>1.4534703374225542</v>
          </cell>
          <cell r="O215">
            <v>-2.1796726842178593E-2</v>
          </cell>
          <cell r="P215">
            <v>-1.0382896942354927</v>
          </cell>
          <cell r="Q215">
            <v>0.6832635529487705</v>
          </cell>
          <cell r="R215">
            <v>1.939227374090237</v>
          </cell>
          <cell r="S215">
            <v>9.4580626423640179E-2</v>
          </cell>
          <cell r="T215">
            <v>-1.7258966863709337</v>
          </cell>
          <cell r="U215">
            <v>1.2438577486379383</v>
          </cell>
          <cell r="V215">
            <v>2.0322268920370328</v>
          </cell>
          <cell r="W215">
            <v>-0.17549955320195965</v>
          </cell>
          <cell r="X215">
            <v>-0.93179667587801029</v>
          </cell>
          <cell r="Y215">
            <v>0.80257584789436009</v>
          </cell>
          <cell r="Z215">
            <v>2.1079162509023699</v>
          </cell>
          <cell r="AD215" t="e">
            <v>#DIV/0!</v>
          </cell>
          <cell r="AH215" t="e">
            <v>#DIV/0!</v>
          </cell>
          <cell r="AL215" t="e">
            <v>#DIV/0!</v>
          </cell>
          <cell r="AP215" t="e">
            <v>#DIV/0!</v>
          </cell>
          <cell r="AT215" t="e">
            <v>#DIV/0!</v>
          </cell>
          <cell r="AX215" t="e">
            <v>#DIV/0!</v>
          </cell>
          <cell r="BA215">
            <v>-0.29047104351977859</v>
          </cell>
          <cell r="BB215">
            <v>-0.10902317571326336</v>
          </cell>
          <cell r="BC215">
            <v>1.7083509821180869</v>
          </cell>
          <cell r="BF215">
            <v>-3.9672239151097077E-2</v>
          </cell>
          <cell r="BG215">
            <v>-0.43095481064113006</v>
          </cell>
          <cell r="BH215">
            <v>1.3835439454349787</v>
          </cell>
          <cell r="BJ215">
            <v>-1.2395227200947394</v>
          </cell>
          <cell r="BK215">
            <v>0.92178677966602907</v>
          </cell>
          <cell r="BL215">
            <v>2.0220425198711744</v>
          </cell>
        </row>
        <row r="217">
          <cell r="D217">
            <v>275210.86701652274</v>
          </cell>
          <cell r="E217">
            <v>95670.203348679308</v>
          </cell>
          <cell r="F217">
            <v>243526.363388903</v>
          </cell>
          <cell r="G217">
            <v>244689.91160634803</v>
          </cell>
          <cell r="H217">
            <v>233855.60307667608</v>
          </cell>
          <cell r="I217">
            <v>84306.306594684094</v>
          </cell>
          <cell r="J217">
            <v>240207.515352185</v>
          </cell>
          <cell r="K217">
            <v>242824.89072280753</v>
          </cell>
          <cell r="L217">
            <v>143295.76991111308</v>
          </cell>
          <cell r="M217">
            <v>85626.038071265808</v>
          </cell>
          <cell r="N217">
            <v>266835.625664377</v>
          </cell>
          <cell r="O217">
            <v>234083.21844240007</v>
          </cell>
          <cell r="P217">
            <v>22820.012442991701</v>
          </cell>
          <cell r="Q217">
            <v>76175.844537753699</v>
          </cell>
          <cell r="R217">
            <v>297078.70650339103</v>
          </cell>
          <cell r="S217">
            <v>252904.6489677545</v>
          </cell>
          <cell r="T217">
            <v>18527.611549512902</v>
          </cell>
          <cell r="U217">
            <v>91140.133065654198</v>
          </cell>
          <cell r="V217">
            <v>320877.76389159099</v>
          </cell>
          <cell r="W217">
            <v>234368.61847855977</v>
          </cell>
          <cell r="X217">
            <v>35786.578731301903</v>
          </cell>
          <cell r="Y217">
            <v>100157.795473192</v>
          </cell>
          <cell r="Z217">
            <v>330951.47221790801</v>
          </cell>
          <cell r="AD217">
            <v>0</v>
          </cell>
          <cell r="AH217">
            <v>0</v>
          </cell>
          <cell r="AL217">
            <v>0</v>
          </cell>
          <cell r="AP217">
            <v>0</v>
          </cell>
          <cell r="AT217">
            <v>0</v>
          </cell>
          <cell r="AX217">
            <v>0</v>
          </cell>
          <cell r="AZ217">
            <v>1467907.0555985947</v>
          </cell>
          <cell r="BA217">
            <v>729496.44272811851</v>
          </cell>
          <cell r="BB217">
            <v>533076.3210912291</v>
          </cell>
          <cell r="BC217">
            <v>1699477.4470183551</v>
          </cell>
          <cell r="BF217">
            <v>652362.2400043119</v>
          </cell>
          <cell r="BG217">
            <v>265602.54801462922</v>
          </cell>
          <cell r="BH217">
            <v>750569.50440546498</v>
          </cell>
          <cell r="BJ217">
            <v>77134.202723806506</v>
          </cell>
          <cell r="BK217">
            <v>267473.77307659993</v>
          </cell>
          <cell r="BL217">
            <v>948907.94261289004</v>
          </cell>
        </row>
        <row r="218">
          <cell r="D218">
            <v>19237.537000328401</v>
          </cell>
          <cell r="E218">
            <v>-41922.879474324567</v>
          </cell>
          <cell r="F218">
            <v>101882.29635384012</v>
          </cell>
          <cell r="G218">
            <v>-10616.867393262948</v>
          </cell>
          <cell r="H218">
            <v>-15157.044357060657</v>
          </cell>
          <cell r="I218">
            <v>-17628.750723022502</v>
          </cell>
          <cell r="J218">
            <v>105417.10028673171</v>
          </cell>
          <cell r="K218">
            <v>-9083.6041885823906</v>
          </cell>
          <cell r="L218">
            <v>-16982.944999698884</v>
          </cell>
          <cell r="M218">
            <v>-860.92127951165219</v>
          </cell>
          <cell r="N218">
            <v>111717.1748589972</v>
          </cell>
          <cell r="O218">
            <v>-2169.8241079475665</v>
          </cell>
          <cell r="P218">
            <v>-18043.233796705317</v>
          </cell>
          <cell r="Q218">
            <v>26070.614648355342</v>
          </cell>
          <cell r="R218">
            <v>146380.38511068374</v>
          </cell>
          <cell r="S218">
            <v>9528.1178164194298</v>
          </cell>
          <cell r="T218">
            <v>-40757.80595495522</v>
          </cell>
          <cell r="U218">
            <v>55888.702526547713</v>
          </cell>
          <cell r="V218">
            <v>160589.57873679342</v>
          </cell>
          <cell r="W218">
            <v>-17542.463599431929</v>
          </cell>
          <cell r="X218">
            <v>-23601.133467422289</v>
          </cell>
          <cell r="Y218">
            <v>36283.210090739783</v>
          </cell>
          <cell r="Z218">
            <v>161359.30267357573</v>
          </cell>
          <cell r="AD218" t="e">
            <v>#DIV/0!</v>
          </cell>
          <cell r="AH218" t="e">
            <v>#DIV/0!</v>
          </cell>
          <cell r="AL218" t="e">
            <v>#DIV/0!</v>
          </cell>
          <cell r="AP218" t="e">
            <v>#DIV/0!</v>
          </cell>
          <cell r="AT218" t="e">
            <v>#DIV/0!</v>
          </cell>
          <cell r="AX218" t="e">
            <v>#DIV/0!</v>
          </cell>
          <cell r="BA218">
            <v>-102481.03781082729</v>
          </cell>
          <cell r="BB218">
            <v>-29672.267400037486</v>
          </cell>
          <cell r="BC218">
            <v>791737.35203984263</v>
          </cell>
          <cell r="BF218">
            <v>-11365.617060866092</v>
          </cell>
          <cell r="BG218">
            <v>-62000.846135825501</v>
          </cell>
          <cell r="BH218">
            <v>321531.00988904858</v>
          </cell>
          <cell r="BJ218">
            <v>-82207.513870641968</v>
          </cell>
          <cell r="BK218">
            <v>118261.75310913548</v>
          </cell>
          <cell r="BL218">
            <v>467202.12455520633</v>
          </cell>
        </row>
        <row r="219">
          <cell r="D219">
            <v>-3062.437364530319</v>
          </cell>
          <cell r="E219">
            <v>-137617.78419351886</v>
          </cell>
          <cell r="F219">
            <v>45973.863686383578</v>
          </cell>
          <cell r="G219">
            <v>20377.742124881956</v>
          </cell>
          <cell r="H219">
            <v>4322.7358273887139</v>
          </cell>
          <cell r="I219">
            <v>-131920.54575896947</v>
          </cell>
          <cell r="J219">
            <v>50484.108470769177</v>
          </cell>
          <cell r="K219">
            <v>13579.275885475821</v>
          </cell>
          <cell r="L219">
            <v>-82546.175811995548</v>
          </cell>
          <cell r="M219">
            <v>-56808.810560335638</v>
          </cell>
          <cell r="N219">
            <v>69492.412734113997</v>
          </cell>
          <cell r="O219">
            <v>19675.644128090451</v>
          </cell>
          <cell r="P219">
            <v>-193219.97220270304</v>
          </cell>
          <cell r="Q219">
            <v>27285.217446406659</v>
          </cell>
          <cell r="R219">
            <v>74522.476854953595</v>
          </cell>
          <cell r="S219">
            <v>10108.750174096602</v>
          </cell>
          <cell r="T219">
            <v>-193619.23146328641</v>
          </cell>
          <cell r="U219">
            <v>16723.81898959359</v>
          </cell>
          <cell r="V219">
            <v>69148.052089143326</v>
          </cell>
          <cell r="W219">
            <v>16199.297397231861</v>
          </cell>
          <cell r="X219">
            <v>-174980.90627983556</v>
          </cell>
          <cell r="Y219">
            <v>28088.006651150317</v>
          </cell>
          <cell r="Z219">
            <v>69434.374071140322</v>
          </cell>
          <cell r="AD219">
            <v>0</v>
          </cell>
          <cell r="AH219">
            <v>0</v>
          </cell>
          <cell r="AL219">
            <v>0</v>
          </cell>
          <cell r="AP219">
            <v>0</v>
          </cell>
          <cell r="AT219">
            <v>0</v>
          </cell>
          <cell r="AX219">
            <v>0</v>
          </cell>
          <cell r="BA219">
            <v>-635929.57505964884</v>
          </cell>
          <cell r="BB219">
            <v>-166747.85423685185</v>
          </cell>
          <cell r="BC219">
            <v>374663.77388728346</v>
          </cell>
          <cell r="BF219">
            <v>-82822.712644702115</v>
          </cell>
          <cell r="BG219">
            <v>-324758.84585385717</v>
          </cell>
          <cell r="BH219">
            <v>163435.94650178717</v>
          </cell>
          <cell r="BJ219">
            <v>-562014.76929426589</v>
          </cell>
          <cell r="BK219">
            <v>72077.817243657933</v>
          </cell>
          <cell r="BL219">
            <v>214232.04498108386</v>
          </cell>
        </row>
        <row r="220">
          <cell r="D220">
            <v>16175.099635798077</v>
          </cell>
          <cell r="E220">
            <v>-179540.66366784344</v>
          </cell>
          <cell r="F220">
            <v>147856.16004022368</v>
          </cell>
          <cell r="G220">
            <v>9760.8747316190274</v>
          </cell>
          <cell r="H220">
            <v>-10834.308529671951</v>
          </cell>
          <cell r="I220">
            <v>-149549.296481992</v>
          </cell>
          <cell r="J220">
            <v>155901.20875750092</v>
          </cell>
          <cell r="K220">
            <v>4495.6716968934343</v>
          </cell>
          <cell r="L220">
            <v>-99529.120811694447</v>
          </cell>
          <cell r="M220">
            <v>-57669.731839847271</v>
          </cell>
          <cell r="N220">
            <v>181209.58759311121</v>
          </cell>
          <cell r="O220">
            <v>17505.820020142914</v>
          </cell>
          <cell r="P220">
            <v>-211263.20599940838</v>
          </cell>
          <cell r="Q220">
            <v>53355.832094761994</v>
          </cell>
          <cell r="R220">
            <v>220902.86196563733</v>
          </cell>
          <cell r="S220">
            <v>19636.86799051601</v>
          </cell>
          <cell r="T220">
            <v>-234377.03741824161</v>
          </cell>
          <cell r="U220">
            <v>72612.521516141293</v>
          </cell>
          <cell r="V220">
            <v>229737.63082593679</v>
          </cell>
          <cell r="W220">
            <v>-1343.1662022000528</v>
          </cell>
          <cell r="X220">
            <v>-198582.03974725786</v>
          </cell>
          <cell r="Y220">
            <v>64371.216741890101</v>
          </cell>
          <cell r="Z220">
            <v>230793.67674471601</v>
          </cell>
          <cell r="AD220">
            <v>0</v>
          </cell>
          <cell r="AH220">
            <v>0</v>
          </cell>
          <cell r="AL220">
            <v>0</v>
          </cell>
          <cell r="AP220">
            <v>0</v>
          </cell>
          <cell r="AT220">
            <v>0</v>
          </cell>
          <cell r="AX220">
            <v>0</v>
          </cell>
          <cell r="BA220">
            <v>-738410.61287047621</v>
          </cell>
          <cell r="BB220">
            <v>-196420.12163688941</v>
          </cell>
          <cell r="BC220">
            <v>1166401.125927126</v>
          </cell>
          <cell r="BF220">
            <v>652362.2400043119</v>
          </cell>
          <cell r="BG220">
            <v>-386759.69198968267</v>
          </cell>
          <cell r="BH220">
            <v>484966.95639083575</v>
          </cell>
          <cell r="BJ220">
            <v>77134.202723806506</v>
          </cell>
          <cell r="BK220">
            <v>190339.57035279344</v>
          </cell>
          <cell r="BL220">
            <v>681434.16953629011</v>
          </cell>
        </row>
        <row r="222">
          <cell r="AZ222">
            <v>46.00830584888292</v>
          </cell>
          <cell r="BA222">
            <v>56.045010053441359</v>
          </cell>
          <cell r="BB222">
            <v>67.862022729217003</v>
          </cell>
          <cell r="BC222">
            <v>64.496747888248294</v>
          </cell>
          <cell r="BE222">
            <v>45.341163337569903</v>
          </cell>
          <cell r="BG222">
            <v>63.213931422018099</v>
          </cell>
          <cell r="BH222">
            <v>62.101732833309264</v>
          </cell>
          <cell r="BI222">
            <v>46.723960453078014</v>
          </cell>
          <cell r="BK222">
            <v>73.315921851990467</v>
          </cell>
          <cell r="BL222">
            <v>66.819290378959394</v>
          </cell>
        </row>
        <row r="223">
          <cell r="AZ223">
            <v>46.00830584888292</v>
          </cell>
          <cell r="BA223">
            <v>57.663029597744242</v>
          </cell>
          <cell r="BB223">
            <v>68.593654850634579</v>
          </cell>
          <cell r="BC223">
            <v>54.017427960407218</v>
          </cell>
          <cell r="BG223">
            <v>66.045580941803237</v>
          </cell>
          <cell r="BH223">
            <v>53.457461946000549</v>
          </cell>
          <cell r="BK223">
            <v>66.978412036640648</v>
          </cell>
          <cell r="BL223">
            <v>54.638773081682693</v>
          </cell>
        </row>
        <row r="225">
          <cell r="AZ225">
            <v>44.630457891283406</v>
          </cell>
          <cell r="BA225">
            <v>42.751482674370145</v>
          </cell>
          <cell r="BB225">
            <v>41.129338088750067</v>
          </cell>
          <cell r="BC225">
            <v>54.176345568663599</v>
          </cell>
          <cell r="BE225">
            <v>44.41981386371738</v>
          </cell>
          <cell r="BG225">
            <v>38.4641990035731</v>
          </cell>
          <cell r="BH225">
            <v>51.536307663805346</v>
          </cell>
          <cell r="BI225">
            <v>44.856419159854241</v>
          </cell>
          <cell r="BK225">
            <v>44.256514118232047</v>
          </cell>
          <cell r="BL225">
            <v>56.736496578352067</v>
          </cell>
        </row>
        <row r="227">
          <cell r="AZ227">
            <v>57.50344291905143</v>
          </cell>
          <cell r="BA227">
            <v>56.742697777940194</v>
          </cell>
          <cell r="BB227">
            <v>39.025194174423937</v>
          </cell>
          <cell r="BC227">
            <v>62.48417082506397</v>
          </cell>
          <cell r="BE227">
            <v>57.069012238315196</v>
          </cell>
          <cell r="BG227">
            <v>36.390892489009417</v>
          </cell>
          <cell r="BH227">
            <v>57.354026249961976</v>
          </cell>
          <cell r="BI227">
            <v>57.977195453465065</v>
          </cell>
          <cell r="BK227">
            <v>42.370232380597486</v>
          </cell>
          <cell r="BL227">
            <v>67.740042373871546</v>
          </cell>
        </row>
        <row r="228">
          <cell r="AZ228">
            <v>17.048495989936455</v>
          </cell>
          <cell r="BA228">
            <v>22.794102275985274</v>
          </cell>
          <cell r="BB228">
            <v>32.2951671769044</v>
          </cell>
          <cell r="BC228">
            <v>30.927144178727449</v>
          </cell>
          <cell r="BE228">
            <v>16.431132070106951</v>
          </cell>
          <cell r="BG228">
            <v>30.842724994145808</v>
          </cell>
          <cell r="BH228">
            <v>30.12178608529333</v>
          </cell>
          <cell r="BI228">
            <v>17.69927281058586</v>
          </cell>
          <cell r="BK228">
            <v>33.778686312383499</v>
          </cell>
          <cell r="BL228">
            <v>31.716263813215363</v>
          </cell>
        </row>
        <row r="236">
          <cell r="D236">
            <v>32320.422385728401</v>
          </cell>
          <cell r="E236">
            <v>21898.266041777999</v>
          </cell>
          <cell r="F236">
            <v>-5949.2454956973907</v>
          </cell>
          <cell r="G236">
            <v>-39969.398198809802</v>
          </cell>
          <cell r="H236">
            <v>14395.559050456901</v>
          </cell>
          <cell r="I236">
            <v>-27835.568256376402</v>
          </cell>
          <cell r="J236">
            <v>-1013.48797598024</v>
          </cell>
          <cell r="K236">
            <v>14253.884452983501</v>
          </cell>
          <cell r="L236">
            <v>-57580.164947479207</v>
          </cell>
          <cell r="M236">
            <v>-7389.5949502839503</v>
          </cell>
          <cell r="N236">
            <v>55710.8866744154</v>
          </cell>
          <cell r="O236">
            <v>1450.46118611526</v>
          </cell>
          <cell r="P236">
            <v>3886.2399094433799</v>
          </cell>
          <cell r="Q236">
            <v>15935.8774358152</v>
          </cell>
          <cell r="R236">
            <v>25551.145149748299</v>
          </cell>
          <cell r="S236">
            <v>10741.6935270549</v>
          </cell>
          <cell r="T236">
            <v>13181.6726172745</v>
          </cell>
          <cell r="U236">
            <v>20305.118085333197</v>
          </cell>
          <cell r="V236">
            <v>3489.3663927347902</v>
          </cell>
          <cell r="W236">
            <v>11813.137119941199</v>
          </cell>
          <cell r="X236">
            <v>30381.7455273339</v>
          </cell>
          <cell r="Y236">
            <v>20766.6009232057</v>
          </cell>
          <cell r="Z236">
            <v>9117.6480316795205</v>
          </cell>
          <cell r="AD236">
            <v>0</v>
          </cell>
          <cell r="AH236">
            <v>0</v>
          </cell>
          <cell r="AL236">
            <v>0</v>
          </cell>
          <cell r="AP236">
            <v>0</v>
          </cell>
          <cell r="AT236">
            <v>0</v>
          </cell>
          <cell r="AX236">
            <v>0</v>
          </cell>
          <cell r="AZ236">
            <v>32953.939197315558</v>
          </cell>
          <cell r="BA236">
            <v>36585.474542757882</v>
          </cell>
          <cell r="BB236">
            <v>43680.699279471744</v>
          </cell>
          <cell r="BC236">
            <v>86906.312776900391</v>
          </cell>
          <cell r="BE236">
            <v>8948.6473642042001</v>
          </cell>
          <cell r="BF236">
            <v>-10864.183511293901</v>
          </cell>
          <cell r="BG236">
            <v>-13326.897164882354</v>
          </cell>
          <cell r="BH236">
            <v>48748.153202737769</v>
          </cell>
          <cell r="BI236">
            <v>24005.291833111361</v>
          </cell>
          <cell r="BJ236">
            <v>47449.658054051775</v>
          </cell>
          <cell r="BK236">
            <v>57007.596444354102</v>
          </cell>
          <cell r="BL236">
            <v>38158.159574162608</v>
          </cell>
        </row>
      </sheetData>
      <sheetData sheetId="14">
        <row r="1">
          <cell r="C1" t="str">
            <v>A</v>
          </cell>
        </row>
      </sheetData>
      <sheetData sheetId="15"/>
      <sheetData sheetId="16">
        <row r="1">
          <cell r="BB1" t="str">
            <v>1Q21</v>
          </cell>
        </row>
      </sheetData>
      <sheetData sheetId="17">
        <row r="1">
          <cell r="BB1" t="str">
            <v>1Q21</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4">
          <cell r="B4">
            <v>43103</v>
          </cell>
          <cell r="C4" t="str">
            <v>Ene_01</v>
          </cell>
        </row>
        <row r="5">
          <cell r="B5">
            <v>43468</v>
          </cell>
          <cell r="C5" t="str">
            <v>Ene_02</v>
          </cell>
        </row>
        <row r="6">
          <cell r="B6">
            <v>43832</v>
          </cell>
          <cell r="C6" t="str">
            <v>Ene_03</v>
          </cell>
        </row>
        <row r="7">
          <cell r="B7">
            <v>44198</v>
          </cell>
          <cell r="C7" t="str">
            <v>Ene_04</v>
          </cell>
        </row>
        <row r="8">
          <cell r="B8">
            <v>43134</v>
          </cell>
          <cell r="C8" t="str">
            <v>Feb_01</v>
          </cell>
        </row>
        <row r="9">
          <cell r="B9">
            <v>43499</v>
          </cell>
          <cell r="C9" t="str">
            <v>Feb_02</v>
          </cell>
        </row>
        <row r="10">
          <cell r="B10">
            <v>43863</v>
          </cell>
          <cell r="C10" t="str">
            <v>Feb_03</v>
          </cell>
        </row>
        <row r="11">
          <cell r="B11">
            <v>44229</v>
          </cell>
          <cell r="C11" t="str">
            <v>Feb_04</v>
          </cell>
        </row>
        <row r="12">
          <cell r="B12">
            <v>43162</v>
          </cell>
          <cell r="C12" t="str">
            <v>Mar_01</v>
          </cell>
        </row>
        <row r="13">
          <cell r="B13">
            <v>43526</v>
          </cell>
          <cell r="C13" t="str">
            <v>Mar_02</v>
          </cell>
        </row>
        <row r="14">
          <cell r="B14">
            <v>43892</v>
          </cell>
          <cell r="C14" t="str">
            <v>Mar_03</v>
          </cell>
        </row>
        <row r="15">
          <cell r="B15">
            <v>44257</v>
          </cell>
          <cell r="C15" t="str">
            <v>Mar_04</v>
          </cell>
        </row>
        <row r="16">
          <cell r="B16">
            <v>43193</v>
          </cell>
          <cell r="C16" t="str">
            <v>Abr_01</v>
          </cell>
        </row>
        <row r="17">
          <cell r="B17">
            <v>43557</v>
          </cell>
          <cell r="C17" t="str">
            <v>Abr_02</v>
          </cell>
        </row>
        <row r="18">
          <cell r="B18">
            <v>43923</v>
          </cell>
          <cell r="C18" t="str">
            <v>Abr_03</v>
          </cell>
        </row>
        <row r="19">
          <cell r="B19">
            <v>44288</v>
          </cell>
          <cell r="C19" t="str">
            <v>Abr_04</v>
          </cell>
        </row>
        <row r="20">
          <cell r="B20">
            <v>43223</v>
          </cell>
          <cell r="C20" t="str">
            <v>May_01</v>
          </cell>
        </row>
        <row r="21">
          <cell r="B21">
            <v>43587</v>
          </cell>
          <cell r="C21" t="str">
            <v>May_02</v>
          </cell>
        </row>
        <row r="22">
          <cell r="B22">
            <v>43953</v>
          </cell>
          <cell r="C22" t="str">
            <v>May_03</v>
          </cell>
        </row>
        <row r="23">
          <cell r="B23">
            <v>44318</v>
          </cell>
          <cell r="C23" t="str">
            <v>May_04</v>
          </cell>
        </row>
        <row r="24">
          <cell r="B24">
            <v>43254</v>
          </cell>
          <cell r="C24" t="str">
            <v>Jun_01</v>
          </cell>
        </row>
        <row r="25">
          <cell r="B25">
            <v>43618</v>
          </cell>
          <cell r="C25" t="str">
            <v>Jun_02</v>
          </cell>
        </row>
        <row r="26">
          <cell r="B26">
            <v>43984</v>
          </cell>
          <cell r="C26" t="str">
            <v>Jun_03</v>
          </cell>
        </row>
        <row r="27">
          <cell r="B27">
            <v>44349</v>
          </cell>
          <cell r="C27" t="str">
            <v>Jun_04</v>
          </cell>
        </row>
        <row r="28">
          <cell r="B28">
            <v>43284</v>
          </cell>
          <cell r="C28" t="str">
            <v>Jul_01</v>
          </cell>
        </row>
        <row r="29">
          <cell r="B29">
            <v>43648</v>
          </cell>
          <cell r="C29" t="str">
            <v>Jul_02</v>
          </cell>
        </row>
        <row r="30">
          <cell r="B30">
            <v>44014</v>
          </cell>
          <cell r="C30" t="str">
            <v>Jul_03</v>
          </cell>
        </row>
        <row r="31">
          <cell r="B31">
            <v>44379</v>
          </cell>
          <cell r="C31" t="str">
            <v>Jul_04</v>
          </cell>
        </row>
        <row r="32">
          <cell r="B32">
            <v>43315</v>
          </cell>
          <cell r="C32" t="str">
            <v>Ago_01</v>
          </cell>
        </row>
        <row r="33">
          <cell r="B33">
            <v>43679</v>
          </cell>
          <cell r="C33" t="str">
            <v>Ago_02</v>
          </cell>
        </row>
        <row r="34">
          <cell r="B34">
            <v>44045</v>
          </cell>
          <cell r="C34" t="str">
            <v>Ago_03</v>
          </cell>
        </row>
        <row r="35">
          <cell r="B35">
            <v>44410</v>
          </cell>
          <cell r="C35" t="str">
            <v>Ago_04</v>
          </cell>
        </row>
        <row r="36">
          <cell r="B36">
            <v>43346</v>
          </cell>
          <cell r="C36" t="str">
            <v>Sep_01</v>
          </cell>
        </row>
        <row r="37">
          <cell r="B37">
            <v>43710</v>
          </cell>
          <cell r="C37" t="str">
            <v>Sep_02</v>
          </cell>
        </row>
        <row r="38">
          <cell r="B38">
            <v>44076</v>
          </cell>
          <cell r="C38" t="str">
            <v>Sep_03</v>
          </cell>
        </row>
        <row r="39">
          <cell r="B39">
            <v>44441</v>
          </cell>
          <cell r="C39" t="str">
            <v>Sep_04</v>
          </cell>
        </row>
        <row r="40">
          <cell r="B40">
            <v>43376</v>
          </cell>
          <cell r="C40" t="str">
            <v>Oct_01</v>
          </cell>
        </row>
        <row r="41">
          <cell r="B41">
            <v>43740</v>
          </cell>
          <cell r="C41" t="str">
            <v>Oct_02</v>
          </cell>
        </row>
        <row r="42">
          <cell r="B42">
            <v>44106</v>
          </cell>
          <cell r="C42" t="str">
            <v>Oct_03</v>
          </cell>
        </row>
        <row r="43">
          <cell r="B43">
            <v>44471</v>
          </cell>
          <cell r="C43" t="str">
            <v>Oct_04</v>
          </cell>
        </row>
        <row r="44">
          <cell r="B44">
            <v>43407</v>
          </cell>
          <cell r="C44" t="str">
            <v>Nov_01</v>
          </cell>
        </row>
        <row r="45">
          <cell r="B45">
            <v>43771</v>
          </cell>
          <cell r="C45" t="str">
            <v>Nov_02</v>
          </cell>
        </row>
        <row r="46">
          <cell r="B46">
            <v>44137</v>
          </cell>
          <cell r="C46" t="str">
            <v>Nov_03</v>
          </cell>
        </row>
        <row r="47">
          <cell r="B47">
            <v>44502</v>
          </cell>
          <cell r="C47" t="str">
            <v>Nov_04</v>
          </cell>
        </row>
        <row r="48">
          <cell r="B48">
            <v>43437</v>
          </cell>
          <cell r="C48" t="str">
            <v>Dic_01</v>
          </cell>
        </row>
        <row r="49">
          <cell r="B49">
            <v>43801</v>
          </cell>
          <cell r="C49" t="str">
            <v>Dic_02</v>
          </cell>
        </row>
        <row r="50">
          <cell r="B50">
            <v>44167</v>
          </cell>
          <cell r="C50" t="str">
            <v>Dic_03</v>
          </cell>
        </row>
        <row r="51">
          <cell r="B51">
            <v>44532</v>
          </cell>
          <cell r="C51" t="str">
            <v>Dic_04</v>
          </cell>
        </row>
        <row r="53">
          <cell r="B53" t="str">
            <v>Acumulado 2018</v>
          </cell>
          <cell r="C53" t="str">
            <v>Acum_01</v>
          </cell>
        </row>
        <row r="54">
          <cell r="B54" t="str">
            <v>Acumulado 2019</v>
          </cell>
          <cell r="C54" t="str">
            <v>Acum_02</v>
          </cell>
        </row>
        <row r="55">
          <cell r="B55" t="str">
            <v>Acumulado 2020</v>
          </cell>
          <cell r="C55" t="str">
            <v>Acum_03</v>
          </cell>
        </row>
        <row r="56">
          <cell r="B56" t="str">
            <v>Acumulado 2021</v>
          </cell>
          <cell r="C56" t="str">
            <v>Acum_04</v>
          </cell>
        </row>
        <row r="58">
          <cell r="B58" t="str">
            <v>I Trimestre 2018</v>
          </cell>
          <cell r="C58" t="str">
            <v>1Q_01</v>
          </cell>
        </row>
        <row r="59">
          <cell r="B59" t="str">
            <v>I Trimestre 2019</v>
          </cell>
          <cell r="C59" t="str">
            <v>1Q_02</v>
          </cell>
        </row>
        <row r="60">
          <cell r="B60" t="str">
            <v>I Trimestre 2020</v>
          </cell>
          <cell r="C60" t="str">
            <v>1Q_03</v>
          </cell>
        </row>
        <row r="61">
          <cell r="B61" t="str">
            <v>I Trimestre 2021</v>
          </cell>
          <cell r="C61" t="str">
            <v>1Q_04</v>
          </cell>
        </row>
        <row r="62">
          <cell r="B62" t="str">
            <v>II Trimestre 2018</v>
          </cell>
          <cell r="C62" t="str">
            <v>2Q_01</v>
          </cell>
        </row>
        <row r="63">
          <cell r="B63" t="str">
            <v>II Trimestre 2019</v>
          </cell>
          <cell r="C63" t="str">
            <v>2Q_02</v>
          </cell>
        </row>
        <row r="64">
          <cell r="B64" t="str">
            <v>II Trimestre 2020</v>
          </cell>
          <cell r="C64" t="str">
            <v>2Q_03</v>
          </cell>
        </row>
        <row r="65">
          <cell r="B65" t="str">
            <v>II Trimestre 2021</v>
          </cell>
          <cell r="C65" t="str">
            <v>2Q_04</v>
          </cell>
        </row>
        <row r="66">
          <cell r="B66" t="str">
            <v>III Trimestre 2018</v>
          </cell>
          <cell r="C66" t="str">
            <v>3Q_01</v>
          </cell>
        </row>
        <row r="67">
          <cell r="B67" t="str">
            <v>III Trimestre 2019</v>
          </cell>
          <cell r="C67" t="str">
            <v>3Q_02</v>
          </cell>
        </row>
        <row r="68">
          <cell r="B68" t="str">
            <v>III Trimestre 2020</v>
          </cell>
          <cell r="C68" t="str">
            <v>3Q_03</v>
          </cell>
        </row>
        <row r="69">
          <cell r="B69" t="str">
            <v>III Trimestre 2021</v>
          </cell>
          <cell r="C69" t="str">
            <v>3Q_04</v>
          </cell>
        </row>
        <row r="70">
          <cell r="B70" t="str">
            <v>IV Trimestre 2018</v>
          </cell>
          <cell r="C70" t="str">
            <v>4Q_01</v>
          </cell>
        </row>
        <row r="71">
          <cell r="B71" t="str">
            <v>IV Trimestre 2019</v>
          </cell>
          <cell r="C71" t="str">
            <v>4Q_02</v>
          </cell>
        </row>
        <row r="72">
          <cell r="B72" t="str">
            <v>IV Trimestre 2020</v>
          </cell>
          <cell r="C72" t="str">
            <v>4Q_03</v>
          </cell>
        </row>
        <row r="73">
          <cell r="B73" t="str">
            <v>IV Trimestre 2021</v>
          </cell>
          <cell r="C73" t="str">
            <v>4Q_04</v>
          </cell>
        </row>
        <row r="75">
          <cell r="B75" t="str">
            <v>I Semestre 2018</v>
          </cell>
          <cell r="C75" t="str">
            <v>1S_01</v>
          </cell>
        </row>
        <row r="76">
          <cell r="B76" t="str">
            <v>I Semestre 2019</v>
          </cell>
          <cell r="C76" t="str">
            <v>1S_02</v>
          </cell>
        </row>
        <row r="77">
          <cell r="B77" t="str">
            <v>I Semestre 2020</v>
          </cell>
          <cell r="C77" t="str">
            <v>1S_03</v>
          </cell>
        </row>
        <row r="78">
          <cell r="B78" t="str">
            <v>I Semestre 2021</v>
          </cell>
          <cell r="C78" t="str">
            <v>1S_04</v>
          </cell>
        </row>
        <row r="79">
          <cell r="B79" t="str">
            <v>II Semestre 2018</v>
          </cell>
          <cell r="C79" t="str">
            <v>2S_01</v>
          </cell>
        </row>
        <row r="80">
          <cell r="B80" t="str">
            <v>II Semestre 2019</v>
          </cell>
          <cell r="C80" t="str">
            <v>2S_02</v>
          </cell>
        </row>
        <row r="81">
          <cell r="B81" t="str">
            <v>II Semestre 2020</v>
          </cell>
          <cell r="C81" t="str">
            <v>2S_03</v>
          </cell>
        </row>
        <row r="82">
          <cell r="B82" t="str">
            <v>II Semestre 2021</v>
          </cell>
          <cell r="C82" t="str">
            <v>2S_04</v>
          </cell>
        </row>
      </sheetData>
      <sheetData sheetId="41"/>
      <sheetData sheetId="42">
        <row r="3">
          <cell r="C3" t="str">
            <v>I Trimestre 2010</v>
          </cell>
          <cell r="D3">
            <v>338790909</v>
          </cell>
        </row>
        <row r="4">
          <cell r="C4" t="str">
            <v>II Trimestre 2010</v>
          </cell>
          <cell r="D4">
            <v>338790909</v>
          </cell>
        </row>
        <row r="5">
          <cell r="C5" t="str">
            <v>III Trimestre 2010</v>
          </cell>
          <cell r="D5">
            <v>338790909</v>
          </cell>
        </row>
        <row r="6">
          <cell r="C6" t="str">
            <v>IV Trimestre 2010</v>
          </cell>
          <cell r="D6">
            <v>338790909</v>
          </cell>
        </row>
        <row r="7">
          <cell r="C7" t="str">
            <v>I Trimestre 2011</v>
          </cell>
          <cell r="D7">
            <v>339310509</v>
          </cell>
        </row>
        <row r="8">
          <cell r="C8" t="str">
            <v>II Trimestre 2011</v>
          </cell>
          <cell r="D8">
            <v>339334209</v>
          </cell>
        </row>
        <row r="9">
          <cell r="C9" t="str">
            <v>III Trimestre 2011</v>
          </cell>
          <cell r="D9">
            <v>339358209</v>
          </cell>
        </row>
        <row r="10">
          <cell r="C10" t="str">
            <v>IV Trimestre 2011</v>
          </cell>
          <cell r="D10">
            <v>340326431</v>
          </cell>
        </row>
        <row r="11">
          <cell r="C11" t="str">
            <v>I Trimestre 2012</v>
          </cell>
          <cell r="D11">
            <v>340999099</v>
          </cell>
        </row>
        <row r="12">
          <cell r="C12" t="str">
            <v>II Trimestre 2012</v>
          </cell>
          <cell r="D12">
            <v>476118975</v>
          </cell>
        </row>
        <row r="13">
          <cell r="C13" t="str">
            <v>III Trimestre 2012</v>
          </cell>
          <cell r="D13">
            <v>476118975</v>
          </cell>
        </row>
        <row r="14">
          <cell r="C14" t="str">
            <v>IV Trimestre 2012</v>
          </cell>
          <cell r="D14">
            <v>479098052</v>
          </cell>
        </row>
        <row r="15">
          <cell r="C15" t="str">
            <v>I Trimestre 2013</v>
          </cell>
          <cell r="D15">
            <v>483555791</v>
          </cell>
        </row>
        <row r="16">
          <cell r="C16" t="str">
            <v>II Trimestre 2013</v>
          </cell>
          <cell r="D16">
            <v>483547819</v>
          </cell>
        </row>
        <row r="17">
          <cell r="C17" t="str">
            <v>III Trimestre 2013</v>
          </cell>
          <cell r="D17">
            <v>483547819</v>
          </cell>
        </row>
        <row r="18">
          <cell r="C18" t="str">
            <v>IV Trimestre 2013</v>
          </cell>
          <cell r="D18">
            <v>535243229</v>
          </cell>
        </row>
        <row r="19">
          <cell r="C19" t="str">
            <v>I Trimestre 2014</v>
          </cell>
          <cell r="D19">
            <v>545547819</v>
          </cell>
        </row>
        <row r="20">
          <cell r="C20" t="str">
            <v>II Trimestre 2014</v>
          </cell>
          <cell r="D20">
            <v>545547819</v>
          </cell>
        </row>
        <row r="21">
          <cell r="C21" t="str">
            <v>III Trimestre 2014</v>
          </cell>
          <cell r="D21">
            <v>545547819</v>
          </cell>
        </row>
        <row r="22">
          <cell r="C22" t="str">
            <v>IV Trimestre 2014</v>
          </cell>
          <cell r="D22">
            <v>545547819</v>
          </cell>
        </row>
        <row r="23">
          <cell r="C23" t="str">
            <v>I Trimestre 2015</v>
          </cell>
          <cell r="D23">
            <v>545547819</v>
          </cell>
        </row>
        <row r="24">
          <cell r="C24" t="str">
            <v>II Trimestre 2015</v>
          </cell>
          <cell r="D24">
            <v>545547819</v>
          </cell>
        </row>
        <row r="25">
          <cell r="C25" t="str">
            <v>III Trimestre 2015</v>
          </cell>
          <cell r="D25">
            <v>545547819</v>
          </cell>
        </row>
        <row r="26">
          <cell r="C26" t="str">
            <v>IV Trimestre 2015</v>
          </cell>
          <cell r="D26">
            <v>545547819</v>
          </cell>
        </row>
        <row r="27">
          <cell r="C27" t="str">
            <v>I Trimestre 2016</v>
          </cell>
          <cell r="D27">
            <v>545547819</v>
          </cell>
        </row>
        <row r="28">
          <cell r="C28" t="str">
            <v>II Trimestre 2016</v>
          </cell>
          <cell r="D28">
            <v>545547819</v>
          </cell>
        </row>
        <row r="29">
          <cell r="C29" t="str">
            <v>III Trimestre 2016</v>
          </cell>
          <cell r="D29">
            <v>545558101</v>
          </cell>
        </row>
        <row r="30">
          <cell r="C30" t="str">
            <v>IV Trimestre 2016</v>
          </cell>
          <cell r="D30">
            <v>606407693</v>
          </cell>
        </row>
        <row r="31">
          <cell r="C31" t="str">
            <v>I Trimestre 2017</v>
          </cell>
          <cell r="D31">
            <v>606407693</v>
          </cell>
        </row>
        <row r="32">
          <cell r="C32" t="str">
            <v>II Trimestre 2017</v>
          </cell>
          <cell r="D32">
            <v>606407693</v>
          </cell>
        </row>
        <row r="33">
          <cell r="C33" t="str">
            <v>III Trimestre 2017</v>
          </cell>
          <cell r="D33">
            <v>606407693</v>
          </cell>
        </row>
        <row r="34">
          <cell r="C34" t="str">
            <v>IV Trimestre 2017</v>
          </cell>
          <cell r="D34">
            <v>606407693</v>
          </cell>
        </row>
        <row r="35">
          <cell r="C35" t="str">
            <v>I Trimestre 2018</v>
          </cell>
          <cell r="D35">
            <v>606407693</v>
          </cell>
        </row>
        <row r="36">
          <cell r="C36" t="str">
            <v>II Trimestre 2018</v>
          </cell>
          <cell r="D36">
            <v>606407693</v>
          </cell>
        </row>
        <row r="37">
          <cell r="C37" t="str">
            <v>III Trimestre 2018</v>
          </cell>
          <cell r="D37">
            <v>606407693</v>
          </cell>
        </row>
        <row r="38">
          <cell r="C38" t="str">
            <v>IV Trimestre 2018</v>
          </cell>
          <cell r="D38">
            <v>606407693</v>
          </cell>
        </row>
        <row r="39">
          <cell r="C39" t="str">
            <v>I Trimestre 2019</v>
          </cell>
          <cell r="D39">
            <v>606407693</v>
          </cell>
        </row>
        <row r="40">
          <cell r="C40" t="str">
            <v>II Trimestre 2019</v>
          </cell>
          <cell r="D40">
            <v>606407693</v>
          </cell>
        </row>
        <row r="41">
          <cell r="C41" t="str">
            <v>III Trimestre 2019</v>
          </cell>
          <cell r="D41">
            <v>606407693</v>
          </cell>
        </row>
        <row r="42">
          <cell r="C42" t="str">
            <v>IV Trimestre 2019</v>
          </cell>
          <cell r="D42">
            <v>606407693</v>
          </cell>
        </row>
        <row r="43">
          <cell r="C43" t="str">
            <v>I Trimestre 2020</v>
          </cell>
          <cell r="D43">
            <v>606407693</v>
          </cell>
        </row>
        <row r="44">
          <cell r="C44" t="str">
            <v>II Trimestre 2020</v>
          </cell>
          <cell r="D44">
            <v>606407693</v>
          </cell>
        </row>
        <row r="45">
          <cell r="C45" t="str">
            <v>III Trimestre 2020</v>
          </cell>
          <cell r="D45">
            <v>606407693</v>
          </cell>
        </row>
        <row r="46">
          <cell r="C46" t="str">
            <v>IV Trimestre 2020</v>
          </cell>
          <cell r="D46">
            <v>606407693</v>
          </cell>
        </row>
        <row r="47">
          <cell r="C47" t="str">
            <v>I Trimestre 2021</v>
          </cell>
          <cell r="D47">
            <v>606407693</v>
          </cell>
        </row>
        <row r="48">
          <cell r="C48" t="str">
            <v>II Trimestre 2021</v>
          </cell>
          <cell r="D48">
            <v>606407693</v>
          </cell>
        </row>
        <row r="49">
          <cell r="C49" t="str">
            <v>III Trimestre 2021</v>
          </cell>
          <cell r="D49">
            <v>606407693</v>
          </cell>
        </row>
        <row r="50">
          <cell r="C50" t="str">
            <v>IV Trimestre 2021</v>
          </cell>
          <cell r="D50">
            <v>606407693</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2006"/>
      <sheetName val="Base 2008"/>
      <sheetName val="Base 2009"/>
      <sheetName val="Base 2010"/>
      <sheetName val="Base 2011"/>
      <sheetName val="Base 2012"/>
      <sheetName val="Base 2013"/>
      <sheetName val="Base 2014"/>
      <sheetName val="Base 2015"/>
      <sheetName val="Base 2016"/>
      <sheetName val="Base 2017"/>
      <sheetName val="Base 2018"/>
      <sheetName val="Base 2019"/>
      <sheetName val="P&amp;L"/>
      <sheetName val="BS"/>
      <sheetName val="Comparativo US$ Q &amp; Ytd"/>
      <sheetName val="BS-A"/>
      <sheetName val="BS-LE"/>
      <sheetName val="CF_"/>
      <sheetName val="Valores 2010"/>
      <sheetName val="Valores 2011"/>
      <sheetName val="Valores 2012"/>
      <sheetName val="Valores 2013"/>
      <sheetName val="Valores 2014"/>
      <sheetName val="Valores 2015"/>
      <sheetName val="Valores 2016"/>
      <sheetName val="Valores 2017"/>
      <sheetName val="Valores 2018"/>
      <sheetName val="Estad Holding 2011"/>
      <sheetName val="Estad Holding 2012"/>
      <sheetName val="Estad Holding 2013"/>
      <sheetName val="Estad Holding 2014"/>
      <sheetName val="Estad Holding 2015"/>
      <sheetName val="Estad Holding 2016"/>
      <sheetName val="Valores 2019"/>
      <sheetName val="Base 2020"/>
      <sheetName val="Valores 2020"/>
      <sheetName val="Estad Holding 2017"/>
      <sheetName val="Estad Holding 2018"/>
      <sheetName val="Oper Inc RE&amp;FO"/>
      <sheetName val="Tipos de Cambio"/>
      <sheetName val="Comparativo Indices"/>
      <sheetName val="Shares Outstand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1">
          <cell r="C1" t="str">
            <v>January</v>
          </cell>
        </row>
        <row r="4">
          <cell r="D4" t="str">
            <v>Ene_02</v>
          </cell>
          <cell r="E4" t="str">
            <v>Ene_03</v>
          </cell>
          <cell r="F4" t="str">
            <v>Ene_04</v>
          </cell>
          <cell r="G4" t="str">
            <v>Feb_01</v>
          </cell>
          <cell r="H4" t="str">
            <v>Feb_02</v>
          </cell>
          <cell r="I4" t="str">
            <v>Feb_03</v>
          </cell>
          <cell r="J4" t="str">
            <v>Feb_04</v>
          </cell>
          <cell r="K4" t="str">
            <v>Mar_01</v>
          </cell>
          <cell r="L4" t="str">
            <v>Mar_02</v>
          </cell>
          <cell r="M4" t="str">
            <v>Mar_03</v>
          </cell>
          <cell r="N4" t="str">
            <v>Mar_04</v>
          </cell>
          <cell r="O4" t="str">
            <v>Abr_01</v>
          </cell>
          <cell r="P4" t="str">
            <v>Abr_02</v>
          </cell>
          <cell r="Q4" t="str">
            <v>Abr_03</v>
          </cell>
          <cell r="R4" t="str">
            <v>Abr_04</v>
          </cell>
          <cell r="S4" t="str">
            <v>May_01</v>
          </cell>
          <cell r="T4" t="str">
            <v>May_02</v>
          </cell>
          <cell r="U4" t="str">
            <v>May_03</v>
          </cell>
          <cell r="V4" t="str">
            <v>May_04</v>
          </cell>
          <cell r="W4" t="str">
            <v>Jun_01</v>
          </cell>
          <cell r="X4" t="str">
            <v>Jun_02</v>
          </cell>
          <cell r="Y4" t="str">
            <v>Jun_03</v>
          </cell>
          <cell r="Z4" t="str">
            <v>Jun_04</v>
          </cell>
          <cell r="AA4" t="str">
            <v>Jul_01</v>
          </cell>
          <cell r="AB4" t="str">
            <v>Jul_02</v>
          </cell>
          <cell r="AC4" t="str">
            <v>Jul_03</v>
          </cell>
          <cell r="AD4" t="str">
            <v>Jul_04</v>
          </cell>
          <cell r="AE4" t="str">
            <v>Jul_01</v>
          </cell>
          <cell r="AF4" t="str">
            <v>Ago_02</v>
          </cell>
          <cell r="AG4" t="str">
            <v>Ago_03</v>
          </cell>
          <cell r="AH4" t="str">
            <v>Ago_04</v>
          </cell>
          <cell r="AI4" t="str">
            <v>Sep_01</v>
          </cell>
          <cell r="AJ4" t="str">
            <v>Sep_02</v>
          </cell>
          <cell r="AK4" t="str">
            <v>Sep_03</v>
          </cell>
          <cell r="AL4" t="str">
            <v>Sep_04</v>
          </cell>
          <cell r="AM4" t="str">
            <v>Oct_01</v>
          </cell>
          <cell r="AN4" t="str">
            <v>Oct_02</v>
          </cell>
          <cell r="AO4" t="str">
            <v>Oct_03</v>
          </cell>
          <cell r="AP4" t="str">
            <v>Oct_04</v>
          </cell>
          <cell r="AQ4" t="str">
            <v>Nov_01</v>
          </cell>
          <cell r="AR4" t="str">
            <v>Nov_02</v>
          </cell>
          <cell r="AS4" t="str">
            <v>Nov_03</v>
          </cell>
          <cell r="AT4" t="str">
            <v>Nov_04</v>
          </cell>
          <cell r="AX4" t="str">
            <v>Dic_04</v>
          </cell>
          <cell r="AZ4" t="str">
            <v>Acum_01</v>
          </cell>
          <cell r="BA4" t="str">
            <v>Acum_02</v>
          </cell>
          <cell r="BB4" t="str">
            <v>Acum_03</v>
          </cell>
          <cell r="BC4" t="str">
            <v>Acum_04</v>
          </cell>
          <cell r="BE4" t="str">
            <v>1Q_01</v>
          </cell>
          <cell r="BF4" t="str">
            <v>1Q_02</v>
          </cell>
          <cell r="BG4" t="str">
            <v>1Q_03</v>
          </cell>
          <cell r="BH4" t="str">
            <v>1Q_04</v>
          </cell>
          <cell r="BI4" t="str">
            <v>2Q_01</v>
          </cell>
          <cell r="BJ4" t="str">
            <v>2Q_02</v>
          </cell>
          <cell r="BK4" t="str">
            <v>2Q_03</v>
          </cell>
          <cell r="BL4" t="str">
            <v>2Q_04</v>
          </cell>
          <cell r="BM4" t="str">
            <v>3Q_01</v>
          </cell>
          <cell r="BN4" t="str">
            <v>3Q_02</v>
          </cell>
          <cell r="BO4" t="str">
            <v>3Q_03</v>
          </cell>
          <cell r="BP4" t="str">
            <v>3Q_04</v>
          </cell>
        </row>
        <row r="5">
          <cell r="D5">
            <v>977458.61470161332</v>
          </cell>
          <cell r="E5">
            <v>350049.66191685351</v>
          </cell>
          <cell r="F5">
            <v>665375.61427446641</v>
          </cell>
          <cell r="G5">
            <v>792924.89769470622</v>
          </cell>
          <cell r="H5">
            <v>801240.38378312183</v>
          </cell>
          <cell r="I5">
            <v>277612.43924707419</v>
          </cell>
          <cell r="J5">
            <v>595287.86279428902</v>
          </cell>
          <cell r="K5">
            <v>804201.62800778192</v>
          </cell>
          <cell r="L5">
            <v>573626.49162776023</v>
          </cell>
          <cell r="M5">
            <v>285502.07443204732</v>
          </cell>
          <cell r="N5">
            <v>698367.26087543077</v>
          </cell>
          <cell r="O5">
            <v>747013.40620641713</v>
          </cell>
          <cell r="P5">
            <v>183340.33672358148</v>
          </cell>
          <cell r="Q5">
            <v>256252.75470843702</v>
          </cell>
          <cell r="R5">
            <v>731172.51685467176</v>
          </cell>
          <cell r="S5">
            <v>782205.556933805</v>
          </cell>
          <cell r="T5">
            <v>265933.66116382985</v>
          </cell>
          <cell r="U5">
            <v>319531.80073823797</v>
          </cell>
          <cell r="V5">
            <v>738110.44665121136</v>
          </cell>
          <cell r="W5">
            <v>840736.44615138473</v>
          </cell>
          <cell r="X5">
            <v>122611.03604452977</v>
          </cell>
          <cell r="Y5">
            <v>312919.83282930311</v>
          </cell>
          <cell r="Z5">
            <v>756803.61878624349</v>
          </cell>
          <cell r="AA5">
            <v>985605.34727194544</v>
          </cell>
          <cell r="AB5">
            <v>162071.85061422377</v>
          </cell>
          <cell r="AC5">
            <v>413680.45888739079</v>
          </cell>
          <cell r="AD5">
            <v>896129.77303002449</v>
          </cell>
          <cell r="AE5">
            <v>793875.14168514055</v>
          </cell>
          <cell r="AF5">
            <v>201042.27107768398</v>
          </cell>
          <cell r="AG5">
            <v>415890.86555642163</v>
          </cell>
          <cell r="AH5">
            <v>838616.92402945936</v>
          </cell>
          <cell r="AI5">
            <v>885619.52369856834</v>
          </cell>
          <cell r="AJ5">
            <v>149816.53267846757</v>
          </cell>
          <cell r="AK5">
            <v>484049.43814865069</v>
          </cell>
          <cell r="AL5">
            <v>852672.26445922628</v>
          </cell>
          <cell r="AP5">
            <v>0</v>
          </cell>
          <cell r="AT5">
            <v>0</v>
          </cell>
          <cell r="AX5">
            <v>0</v>
          </cell>
          <cell r="AZ5">
            <v>7560323.815034016</v>
          </cell>
          <cell r="BA5">
            <v>3437142.1784148123</v>
          </cell>
          <cell r="BB5">
            <v>3115488.3264644165</v>
          </cell>
          <cell r="BC5">
            <v>6772536.2817550227</v>
          </cell>
          <cell r="BE5">
            <v>2525268.3930867552</v>
          </cell>
          <cell r="BF5">
            <v>2352325.4901124956</v>
          </cell>
          <cell r="BG5">
            <v>913163.17559597502</v>
          </cell>
          <cell r="BH5">
            <v>1959030.7379441864</v>
          </cell>
          <cell r="BI5">
            <v>2369955.4092916069</v>
          </cell>
          <cell r="BJ5">
            <v>571884.03393194114</v>
          </cell>
          <cell r="BK5">
            <v>888704.38827597862</v>
          </cell>
          <cell r="BL5">
            <v>2226086.5822921265</v>
          </cell>
          <cell r="BM5">
            <v>2665100.0126556549</v>
          </cell>
          <cell r="BN5">
            <v>512932.65437037533</v>
          </cell>
          <cell r="BO5">
            <v>1313620.7625924631</v>
          </cell>
          <cell r="BP5">
            <v>2587418.96151871</v>
          </cell>
        </row>
        <row r="6">
          <cell r="D6">
            <v>862994.39002085174</v>
          </cell>
          <cell r="E6">
            <v>210008.1560022693</v>
          </cell>
          <cell r="F6">
            <v>539234.5306553737</v>
          </cell>
          <cell r="G6">
            <v>678646.30825033423</v>
          </cell>
          <cell r="H6">
            <v>698034.90511201462</v>
          </cell>
          <cell r="I6">
            <v>148634.45401237276</v>
          </cell>
          <cell r="J6">
            <v>441473.94108297641</v>
          </cell>
          <cell r="K6">
            <v>677469.87498873414</v>
          </cell>
          <cell r="L6">
            <v>452672.66764455382</v>
          </cell>
          <cell r="M6">
            <v>138336.2097658148</v>
          </cell>
          <cell r="N6">
            <v>505530.28265649051</v>
          </cell>
          <cell r="O6">
            <v>627242.6370916107</v>
          </cell>
          <cell r="P6">
            <v>69819.680556708088</v>
          </cell>
          <cell r="Q6">
            <v>101997.89996614245</v>
          </cell>
          <cell r="R6">
            <v>556307.67072927894</v>
          </cell>
          <cell r="S6">
            <v>657916.18364485237</v>
          </cell>
          <cell r="T6">
            <v>48236.720862563496</v>
          </cell>
          <cell r="U6">
            <v>164643.140337544</v>
          </cell>
          <cell r="V6">
            <v>556746.23541052127</v>
          </cell>
          <cell r="W6">
            <v>734516.01361811359</v>
          </cell>
          <cell r="X6">
            <v>4890.269382135305</v>
          </cell>
          <cell r="Y6">
            <v>189049.95489286538</v>
          </cell>
          <cell r="Z6">
            <v>600331.23548688844</v>
          </cell>
          <cell r="AA6">
            <v>876191.47111758671</v>
          </cell>
          <cell r="AB6">
            <v>46881.126915405388</v>
          </cell>
          <cell r="AC6">
            <v>279051.41793809249</v>
          </cell>
          <cell r="AD6">
            <v>750458.52135296701</v>
          </cell>
          <cell r="AE6">
            <v>691243.28042711096</v>
          </cell>
          <cell r="AF6">
            <v>62717.475735717446</v>
          </cell>
          <cell r="AG6">
            <v>293468.25448800734</v>
          </cell>
          <cell r="AH6">
            <v>690818.5037632446</v>
          </cell>
          <cell r="AI6">
            <v>772862.1799157823</v>
          </cell>
          <cell r="AJ6">
            <v>11445.80449922978</v>
          </cell>
          <cell r="AK6">
            <v>342061.91577959253</v>
          </cell>
          <cell r="AL6">
            <v>704109.99117458146</v>
          </cell>
          <cell r="AP6">
            <v>0</v>
          </cell>
          <cell r="AT6">
            <v>0</v>
          </cell>
          <cell r="AX6">
            <v>0</v>
          </cell>
          <cell r="AZ6">
            <v>6527953.7259432189</v>
          </cell>
          <cell r="BA6">
            <v>2257693.04072918</v>
          </cell>
          <cell r="BB6">
            <v>1867251.403182701</v>
          </cell>
          <cell r="BC6">
            <v>5345010.9123123223</v>
          </cell>
          <cell r="BE6">
            <v>2167981.9601281625</v>
          </cell>
          <cell r="BF6">
            <v>2013701.9627774202</v>
          </cell>
          <cell r="BG6">
            <v>496978.81978045683</v>
          </cell>
          <cell r="BH6">
            <v>1486238.7543948407</v>
          </cell>
          <cell r="BI6">
            <v>2019674.8343545767</v>
          </cell>
          <cell r="BJ6">
            <v>122946.67080140689</v>
          </cell>
          <cell r="BK6">
            <v>455690.99519655184</v>
          </cell>
          <cell r="BL6">
            <v>1713385.1416266887</v>
          </cell>
          <cell r="BM6">
            <v>2340296.9314604802</v>
          </cell>
          <cell r="BN6">
            <v>121044.40715035262</v>
          </cell>
          <cell r="BO6">
            <v>914581.58820569236</v>
          </cell>
          <cell r="BP6">
            <v>2145387.0162907932</v>
          </cell>
        </row>
        <row r="7">
          <cell r="D7">
            <v>859036.57403840008</v>
          </cell>
          <cell r="E7">
            <v>201179.64707213</v>
          </cell>
          <cell r="F7">
            <v>524188.88073085301</v>
          </cell>
          <cell r="G7">
            <v>663547.50081034005</v>
          </cell>
          <cell r="H7">
            <v>694065.55906631809</v>
          </cell>
          <cell r="I7">
            <v>142723.83384920901</v>
          </cell>
          <cell r="J7">
            <v>428592.88269803999</v>
          </cell>
          <cell r="K7">
            <v>664496.14183557907</v>
          </cell>
          <cell r="L7">
            <v>451922.37711115903</v>
          </cell>
          <cell r="M7">
            <v>133297.206180293</v>
          </cell>
          <cell r="N7">
            <v>493335.21390841104</v>
          </cell>
          <cell r="O7">
            <v>623764.12999342999</v>
          </cell>
          <cell r="P7">
            <v>69952.531864963501</v>
          </cell>
          <cell r="Q7">
            <v>98805.132387418897</v>
          </cell>
          <cell r="R7">
            <v>544959.53069184802</v>
          </cell>
          <cell r="S7">
            <v>654268.34810864495</v>
          </cell>
          <cell r="T7">
            <v>47913.009420954302</v>
          </cell>
          <cell r="U7">
            <v>159402.79584198902</v>
          </cell>
          <cell r="V7">
            <v>544660.28623354901</v>
          </cell>
          <cell r="W7">
            <v>730848.70150139998</v>
          </cell>
          <cell r="X7">
            <v>4663.3336701865301</v>
          </cell>
          <cell r="Y7">
            <v>182563.386972165</v>
          </cell>
          <cell r="Z7">
            <v>587964.7014494621</v>
          </cell>
          <cell r="AA7">
            <v>872400.339919277</v>
          </cell>
          <cell r="AB7">
            <v>44827.382339445896</v>
          </cell>
          <cell r="AC7">
            <v>269379.04715510702</v>
          </cell>
          <cell r="AD7">
            <v>733320.74351548508</v>
          </cell>
          <cell r="AE7">
            <v>687602.08066548337</v>
          </cell>
          <cell r="AF7">
            <v>60179.861408280798</v>
          </cell>
          <cell r="AG7">
            <v>283333.42995481903</v>
          </cell>
          <cell r="AH7">
            <v>674370.22814781405</v>
          </cell>
          <cell r="AI7">
            <v>768104.08403622604</v>
          </cell>
          <cell r="AJ7">
            <v>8206.2454175739604</v>
          </cell>
          <cell r="AK7">
            <v>332022.540726348</v>
          </cell>
          <cell r="AL7">
            <v>689079.78380346892</v>
          </cell>
          <cell r="AP7">
            <v>0</v>
          </cell>
          <cell r="AT7">
            <v>0</v>
          </cell>
          <cell r="AX7">
            <v>0</v>
          </cell>
          <cell r="AZ7">
            <v>6462235.9154560752</v>
          </cell>
          <cell r="BA7">
            <v>2240766.874337282</v>
          </cell>
          <cell r="BB7">
            <v>1802707.0201394788</v>
          </cell>
          <cell r="BC7">
            <v>5220472.2511789314</v>
          </cell>
          <cell r="BE7">
            <v>2125248.231231614</v>
          </cell>
          <cell r="BF7">
            <v>2005024.5102158773</v>
          </cell>
          <cell r="BG7">
            <v>477200.68710163201</v>
          </cell>
          <cell r="BH7">
            <v>1446116.977337304</v>
          </cell>
          <cell r="BI7">
            <v>2008881.1796034749</v>
          </cell>
          <cell r="BJ7">
            <v>122528.87495610434</v>
          </cell>
          <cell r="BK7">
            <v>440771.31520157296</v>
          </cell>
          <cell r="BL7">
            <v>1677584.5183748594</v>
          </cell>
          <cell r="BM7">
            <v>2328106.5046209865</v>
          </cell>
          <cell r="BN7">
            <v>113213.48916530065</v>
          </cell>
          <cell r="BO7">
            <v>884735.01783627411</v>
          </cell>
          <cell r="BP7">
            <v>2096770.7554667681</v>
          </cell>
        </row>
        <row r="8">
          <cell r="D8">
            <v>3957.8159824516201</v>
          </cell>
          <cell r="E8">
            <v>8828.5089301393109</v>
          </cell>
          <cell r="F8">
            <v>15045.6499245207</v>
          </cell>
          <cell r="G8">
            <v>15098.8074399942</v>
          </cell>
          <cell r="H8">
            <v>3969.3460456965699</v>
          </cell>
          <cell r="I8">
            <v>5910.6201631637596</v>
          </cell>
          <cell r="J8">
            <v>12881.058384936399</v>
          </cell>
          <cell r="K8">
            <v>12973.733153155099</v>
          </cell>
          <cell r="L8">
            <v>750.29053339476195</v>
          </cell>
          <cell r="M8">
            <v>5039.0035855218093</v>
          </cell>
          <cell r="N8">
            <v>12195.068748079499</v>
          </cell>
          <cell r="O8">
            <v>3478.5070981806698</v>
          </cell>
          <cell r="P8">
            <v>-132.85130825541702</v>
          </cell>
          <cell r="Q8">
            <v>3192.7675787235498</v>
          </cell>
          <cell r="R8">
            <v>11348.1400374309</v>
          </cell>
          <cell r="S8">
            <v>3647.8355362074299</v>
          </cell>
          <cell r="T8">
            <v>323.711441609193</v>
          </cell>
          <cell r="U8">
            <v>5241.3444955546001</v>
          </cell>
          <cell r="V8">
            <v>12085.949176972299</v>
          </cell>
          <cell r="W8">
            <v>3667.3121167136396</v>
          </cell>
          <cell r="X8">
            <v>226.93571194877498</v>
          </cell>
          <cell r="Y8">
            <v>6486.5679207003795</v>
          </cell>
          <cell r="Z8">
            <v>12366.5340374263</v>
          </cell>
          <cell r="AA8">
            <v>3791.1311983097298</v>
          </cell>
          <cell r="AB8">
            <v>2053.7445759594898</v>
          </cell>
          <cell r="AC8">
            <v>9672.3707829854702</v>
          </cell>
          <cell r="AD8">
            <v>17137.777837481903</v>
          </cell>
          <cell r="AE8">
            <v>3641.1997616276099</v>
          </cell>
          <cell r="AF8">
            <v>2537.61432743665</v>
          </cell>
          <cell r="AG8">
            <v>10134.824533188301</v>
          </cell>
          <cell r="AH8">
            <v>16448.275615430601</v>
          </cell>
          <cell r="AI8">
            <v>4758.0958795563001</v>
          </cell>
          <cell r="AJ8">
            <v>3239.5590816558201</v>
          </cell>
          <cell r="AK8">
            <v>10039.375053244499</v>
          </cell>
          <cell r="AL8">
            <v>15030.2073711126</v>
          </cell>
          <cell r="AP8">
            <v>0</v>
          </cell>
          <cell r="AT8">
            <v>0</v>
          </cell>
          <cell r="AX8">
            <v>0</v>
          </cell>
          <cell r="AZ8">
            <v>65717.810487143797</v>
          </cell>
          <cell r="BA8">
            <v>16926.166391897466</v>
          </cell>
          <cell r="BB8">
            <v>64545.383043221678</v>
          </cell>
          <cell r="BC8">
            <v>124538.6611333912</v>
          </cell>
          <cell r="BE8">
            <v>42733.728896548404</v>
          </cell>
          <cell r="BF8">
            <v>8677.452561542952</v>
          </cell>
          <cell r="BG8">
            <v>19778.132678824881</v>
          </cell>
          <cell r="BH8">
            <v>40121.777057536601</v>
          </cell>
          <cell r="BI8">
            <v>10793.65475110174</v>
          </cell>
          <cell r="BJ8">
            <v>417.79584530255096</v>
          </cell>
          <cell r="BK8">
            <v>14920.679994978529</v>
          </cell>
          <cell r="BL8">
            <v>35800.6232518295</v>
          </cell>
          <cell r="BM8">
            <v>12190.426839493641</v>
          </cell>
          <cell r="BN8">
            <v>7830.9179850519595</v>
          </cell>
          <cell r="BO8">
            <v>29846.570369418267</v>
          </cell>
          <cell r="BP8">
            <v>48616.260824025099</v>
          </cell>
        </row>
        <row r="9">
          <cell r="D9">
            <v>90119.300708010793</v>
          </cell>
          <cell r="E9">
            <v>118599.417248237</v>
          </cell>
          <cell r="F9">
            <v>137000.52052639899</v>
          </cell>
          <cell r="G9">
            <v>86064.463340548798</v>
          </cell>
          <cell r="H9">
            <v>81677.219943028904</v>
          </cell>
          <cell r="I9">
            <v>107836.52795073899</v>
          </cell>
          <cell r="J9">
            <v>141424.68547156101</v>
          </cell>
          <cell r="K9">
            <v>90725.487033005702</v>
          </cell>
          <cell r="L9">
            <v>80592.882419071801</v>
          </cell>
          <cell r="M9">
            <v>118784.408151027</v>
          </cell>
          <cell r="N9">
            <v>152272.84840439202</v>
          </cell>
          <cell r="O9">
            <v>93281.848240601306</v>
          </cell>
          <cell r="P9">
            <v>91070.215923860698</v>
          </cell>
          <cell r="Q9">
            <v>136088.24827061701</v>
          </cell>
          <cell r="R9">
            <v>160254.85107119102</v>
          </cell>
          <cell r="S9">
            <v>94422.321204409702</v>
          </cell>
          <cell r="T9">
            <v>128675.702524554</v>
          </cell>
          <cell r="U9">
            <v>134838.453892789</v>
          </cell>
          <cell r="V9">
            <v>161966.91888010601</v>
          </cell>
          <cell r="W9">
            <v>81555.719129394696</v>
          </cell>
          <cell r="X9">
            <v>98980.810691476407</v>
          </cell>
          <cell r="Y9">
            <v>99235.531844457408</v>
          </cell>
          <cell r="Z9">
            <v>140607.045045331</v>
          </cell>
          <cell r="AA9">
            <v>84281.018858961805</v>
          </cell>
          <cell r="AB9">
            <v>95842.731752867796</v>
          </cell>
          <cell r="AC9">
            <v>121980.88889102</v>
          </cell>
          <cell r="AD9">
            <v>133581.323812877</v>
          </cell>
          <cell r="AE9">
            <v>84320.677314778703</v>
          </cell>
          <cell r="AF9">
            <v>93392.106344668195</v>
          </cell>
          <cell r="AG9">
            <v>113796.17426748801</v>
          </cell>
          <cell r="AH9">
            <v>136753.153825254</v>
          </cell>
          <cell r="AI9">
            <v>83089.682598514395</v>
          </cell>
          <cell r="AJ9">
            <v>94721.829893225397</v>
          </cell>
          <cell r="AK9">
            <v>125660.346088544</v>
          </cell>
          <cell r="AL9">
            <v>142117.52424864599</v>
          </cell>
          <cell r="AP9">
            <v>0</v>
          </cell>
          <cell r="AT9">
            <v>0</v>
          </cell>
          <cell r="AX9">
            <v>0</v>
          </cell>
          <cell r="AZ9">
            <v>784447.58838415786</v>
          </cell>
          <cell r="BA9">
            <v>855072.80020076409</v>
          </cell>
          <cell r="BB9">
            <v>1076819.9966049183</v>
          </cell>
          <cell r="BC9">
            <v>1305978.871285757</v>
          </cell>
          <cell r="BE9">
            <v>263496.32103749731</v>
          </cell>
          <cell r="BF9">
            <v>252389.4030701115</v>
          </cell>
          <cell r="BG9">
            <v>345220.35335000302</v>
          </cell>
          <cell r="BH9">
            <v>430698.05440235202</v>
          </cell>
          <cell r="BI9">
            <v>269259.88857440569</v>
          </cell>
          <cell r="BJ9">
            <v>318726.7291398911</v>
          </cell>
          <cell r="BK9">
            <v>370162.23400786344</v>
          </cell>
          <cell r="BL9">
            <v>462828.81499662803</v>
          </cell>
          <cell r="BM9">
            <v>251691.37877225489</v>
          </cell>
          <cell r="BN9">
            <v>283956.6679907614</v>
          </cell>
          <cell r="BO9">
            <v>361437.40924705204</v>
          </cell>
          <cell r="BP9">
            <v>412452.001886777</v>
          </cell>
        </row>
        <row r="10">
          <cell r="D10">
            <v>24344.923972750734</v>
          </cell>
          <cell r="E10">
            <v>21442.088666347183</v>
          </cell>
          <cell r="F10">
            <v>-10859.43690730631</v>
          </cell>
          <cell r="G10">
            <v>28214.126103823131</v>
          </cell>
          <cell r="H10">
            <v>21528.258728078388</v>
          </cell>
          <cell r="I10">
            <v>21141.457283962456</v>
          </cell>
          <cell r="J10">
            <v>12389.236239751604</v>
          </cell>
          <cell r="K10">
            <v>36006.265986042155</v>
          </cell>
          <cell r="L10">
            <v>40360.941564134555</v>
          </cell>
          <cell r="M10">
            <v>28380.456515205555</v>
          </cell>
          <cell r="N10">
            <v>40564.129814548302</v>
          </cell>
          <cell r="O10">
            <v>26489.9208742052</v>
          </cell>
          <cell r="P10">
            <v>22450.440243012694</v>
          </cell>
          <cell r="Q10">
            <v>18166.606471677547</v>
          </cell>
          <cell r="R10">
            <v>14609.995054201761</v>
          </cell>
          <cell r="S10">
            <v>29867.052084542956</v>
          </cell>
          <cell r="T10">
            <v>89020.237776712325</v>
          </cell>
          <cell r="U10">
            <v>20050.206507905321</v>
          </cell>
          <cell r="V10">
            <v>19397.292360584135</v>
          </cell>
          <cell r="W10">
            <v>24663.713403876402</v>
          </cell>
          <cell r="X10">
            <v>18739.955970918061</v>
          </cell>
          <cell r="Y10">
            <v>24634.346091980377</v>
          </cell>
          <cell r="Z10">
            <v>15865.338254024013</v>
          </cell>
          <cell r="AA10">
            <v>25132.857295397014</v>
          </cell>
          <cell r="AB10">
            <v>19347.991945950565</v>
          </cell>
          <cell r="AC10">
            <v>12648.152058278349</v>
          </cell>
          <cell r="AD10">
            <v>12089.927864180419</v>
          </cell>
          <cell r="AE10">
            <v>18311.183943250897</v>
          </cell>
          <cell r="AF10">
            <v>44932.688997298341</v>
          </cell>
          <cell r="AG10">
            <v>8626.4368009262616</v>
          </cell>
          <cell r="AH10">
            <v>11045.266440960653</v>
          </cell>
          <cell r="AI10">
            <v>29667.661184271652</v>
          </cell>
          <cell r="AJ10">
            <v>43650.898286012409</v>
          </cell>
          <cell r="AK10">
            <v>16327.176280514135</v>
          </cell>
          <cell r="AL10">
            <v>6444.749035998846</v>
          </cell>
          <cell r="AP10">
            <v>0</v>
          </cell>
          <cell r="AT10">
            <v>0</v>
          </cell>
          <cell r="AX10">
            <v>0</v>
          </cell>
          <cell r="AZ10">
            <v>247922.50070663929</v>
          </cell>
          <cell r="BA10">
            <v>324376.33748486801</v>
          </cell>
          <cell r="BB10">
            <v>171416.92667679719</v>
          </cell>
          <cell r="BC10">
            <v>121546.49815694342</v>
          </cell>
          <cell r="BE10">
            <v>93790.111921095144</v>
          </cell>
          <cell r="BF10">
            <v>86234.12426496367</v>
          </cell>
          <cell r="BG10">
            <v>70964.002465515194</v>
          </cell>
          <cell r="BH10">
            <v>42093.9291469936</v>
          </cell>
          <cell r="BI10">
            <v>81020.686362624605</v>
          </cell>
          <cell r="BJ10">
            <v>130210.63399064311</v>
          </cell>
          <cell r="BK10">
            <v>62851.159071563241</v>
          </cell>
          <cell r="BL10">
            <v>49872.625668809909</v>
          </cell>
          <cell r="BM10">
            <v>73111.702422919552</v>
          </cell>
          <cell r="BN10">
            <v>107931.57922926129</v>
          </cell>
          <cell r="BO10">
            <v>37601.765139718744</v>
          </cell>
          <cell r="BP10">
            <v>29579.943341139919</v>
          </cell>
        </row>
        <row r="11">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13.288</v>
          </cell>
          <cell r="T11">
            <v>0</v>
          </cell>
          <cell r="U11">
            <v>0</v>
          </cell>
          <cell r="V11">
            <v>0</v>
          </cell>
          <cell r="W11">
            <v>269.65009999999995</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P11">
            <v>0</v>
          </cell>
          <cell r="AT11">
            <v>0</v>
          </cell>
          <cell r="AX11">
            <v>0</v>
          </cell>
          <cell r="AZ11">
            <v>282.93809999999996</v>
          </cell>
          <cell r="BA11">
            <v>0</v>
          </cell>
          <cell r="BB11">
            <v>0</v>
          </cell>
          <cell r="BC11">
            <v>0</v>
          </cell>
          <cell r="BE11">
            <v>0</v>
          </cell>
          <cell r="BF11">
            <v>0</v>
          </cell>
          <cell r="BG11">
            <v>0</v>
          </cell>
          <cell r="BH11">
            <v>0</v>
          </cell>
          <cell r="BI11">
            <v>282.93809999999996</v>
          </cell>
          <cell r="BJ11">
            <v>0</v>
          </cell>
          <cell r="BK11">
            <v>0</v>
          </cell>
          <cell r="BL11">
            <v>0</v>
          </cell>
          <cell r="BM11">
            <v>0</v>
          </cell>
          <cell r="BN11">
            <v>0</v>
          </cell>
          <cell r="BO11">
            <v>0</v>
          </cell>
          <cell r="BP11">
            <v>0</v>
          </cell>
        </row>
        <row r="12">
          <cell r="D12">
            <v>531.31688730282201</v>
          </cell>
          <cell r="E12">
            <v>1154.9854072543899</v>
          </cell>
          <cell r="F12">
            <v>796.66902358220204</v>
          </cell>
          <cell r="G12">
            <v>681.79055083681703</v>
          </cell>
          <cell r="H12">
            <v>861.09800077145394</v>
          </cell>
          <cell r="I12">
            <v>1301.44464111293</v>
          </cell>
          <cell r="J12">
            <v>929.89217810481603</v>
          </cell>
          <cell r="K12">
            <v>232.02647271210401</v>
          </cell>
          <cell r="L12">
            <v>373.736914231936</v>
          </cell>
          <cell r="M12">
            <v>1783.7870069508399</v>
          </cell>
          <cell r="N12">
            <v>948.94974155557702</v>
          </cell>
          <cell r="O12">
            <v>348.83213104236597</v>
          </cell>
          <cell r="P12">
            <v>1153.3252281349</v>
          </cell>
          <cell r="Q12">
            <v>1186.24020027096</v>
          </cell>
          <cell r="R12">
            <v>845.28414614534995</v>
          </cell>
          <cell r="S12">
            <v>428.56390269033903</v>
          </cell>
          <cell r="T12">
            <v>621.48158249867492</v>
          </cell>
          <cell r="U12">
            <v>1708.3203698659199</v>
          </cell>
          <cell r="V12">
            <v>719.72834805538207</v>
          </cell>
          <cell r="W12">
            <v>1216.1557051283999</v>
          </cell>
          <cell r="X12">
            <v>3082.6076028049301</v>
          </cell>
          <cell r="Y12">
            <v>3960.3307943360896</v>
          </cell>
          <cell r="Z12">
            <v>893.79208941517004</v>
          </cell>
          <cell r="AA12">
            <v>1472.68600032275</v>
          </cell>
          <cell r="AB12">
            <v>863.56719925830896</v>
          </cell>
          <cell r="AC12">
            <v>217.686498420269</v>
          </cell>
          <cell r="AD12">
            <v>734.365028181502</v>
          </cell>
          <cell r="AE12">
            <v>559.68661532941599</v>
          </cell>
          <cell r="AF12">
            <v>1345.92097620407</v>
          </cell>
          <cell r="AG12">
            <v>-1077.3426791377401</v>
          </cell>
          <cell r="AH12">
            <v>828.85519733457102</v>
          </cell>
          <cell r="AI12">
            <v>1211.76862634299</v>
          </cell>
          <cell r="AJ12">
            <v>4985.3096775085896</v>
          </cell>
          <cell r="AK12">
            <v>2479.1323860208804</v>
          </cell>
          <cell r="AL12">
            <v>340.97306495232601</v>
          </cell>
          <cell r="AP12">
            <v>0</v>
          </cell>
          <cell r="AT12">
            <v>0</v>
          </cell>
          <cell r="AX12">
            <v>0</v>
          </cell>
          <cell r="AZ12">
            <v>7405.6839516645814</v>
          </cell>
          <cell r="BA12">
            <v>13818.364068715688</v>
          </cell>
          <cell r="BB12">
            <v>12714.58462509454</v>
          </cell>
          <cell r="BC12">
            <v>7038.5088173268969</v>
          </cell>
          <cell r="BE12">
            <v>2167.990970808321</v>
          </cell>
          <cell r="BF12">
            <v>1766.1518023062119</v>
          </cell>
          <cell r="BG12">
            <v>4240.2170553181595</v>
          </cell>
          <cell r="BH12">
            <v>2675.5109432425952</v>
          </cell>
          <cell r="BI12">
            <v>1993.5517388611049</v>
          </cell>
          <cell r="BJ12">
            <v>4857.4144134385051</v>
          </cell>
          <cell r="BK12">
            <v>6854.8913644729691</v>
          </cell>
          <cell r="BL12">
            <v>2458.8045836159017</v>
          </cell>
          <cell r="BM12">
            <v>3244.1412419951562</v>
          </cell>
          <cell r="BN12">
            <v>7194.797852970969</v>
          </cell>
          <cell r="BO12">
            <v>1619.4762053034092</v>
          </cell>
          <cell r="BP12">
            <v>1904.193290468399</v>
          </cell>
        </row>
        <row r="13">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-7.2759576141834308E-15</v>
          </cell>
          <cell r="AF13">
            <v>0</v>
          </cell>
          <cell r="AG13">
            <v>1.08357767203415E-16</v>
          </cell>
          <cell r="AH13">
            <v>0</v>
          </cell>
          <cell r="AI13">
            <v>0</v>
          </cell>
          <cell r="AJ13">
            <v>0</v>
          </cell>
          <cell r="AK13">
            <v>0</v>
          </cell>
          <cell r="AL13">
            <v>0</v>
          </cell>
          <cell r="AP13">
            <v>0</v>
          </cell>
          <cell r="AT13">
            <v>0</v>
          </cell>
          <cell r="AX13">
            <v>0</v>
          </cell>
          <cell r="AZ13">
            <v>-7.2759576141834308E-15</v>
          </cell>
          <cell r="BA13">
            <v>0</v>
          </cell>
          <cell r="BB13">
            <v>1.08357767203415E-16</v>
          </cell>
          <cell r="BC13">
            <v>0</v>
          </cell>
          <cell r="BE13">
            <v>0</v>
          </cell>
          <cell r="BF13">
            <v>0</v>
          </cell>
          <cell r="BG13">
            <v>0</v>
          </cell>
          <cell r="BH13">
            <v>0</v>
          </cell>
          <cell r="BI13">
            <v>0</v>
          </cell>
          <cell r="BJ13">
            <v>0</v>
          </cell>
          <cell r="BK13">
            <v>0</v>
          </cell>
          <cell r="BL13">
            <v>0</v>
          </cell>
          <cell r="BM13">
            <v>-7.2759576141834308E-15</v>
          </cell>
          <cell r="BN13">
            <v>0</v>
          </cell>
          <cell r="BO13">
            <v>1.08357767203415E-16</v>
          </cell>
          <cell r="BP13">
            <v>0</v>
          </cell>
        </row>
        <row r="14">
          <cell r="D14">
            <v>1185.82253213525</v>
          </cell>
          <cell r="E14">
            <v>10.680071309663401</v>
          </cell>
          <cell r="F14">
            <v>298.81846188244498</v>
          </cell>
          <cell r="G14">
            <v>849.67521210176403</v>
          </cell>
          <cell r="H14">
            <v>912.07143032044496</v>
          </cell>
          <cell r="I14">
            <v>62.864065422812203</v>
          </cell>
          <cell r="J14">
            <v>253.45330963986899</v>
          </cell>
          <cell r="K14">
            <v>1037.9232287350001</v>
          </cell>
          <cell r="L14">
            <v>788.42181641826699</v>
          </cell>
          <cell r="M14">
            <v>131.45803007795701</v>
          </cell>
          <cell r="N14">
            <v>585.18474232276594</v>
          </cell>
          <cell r="O14">
            <v>1030.12064710504</v>
          </cell>
          <cell r="P14">
            <v>14.2431642036747</v>
          </cell>
          <cell r="Q14">
            <v>69.482310320174108</v>
          </cell>
          <cell r="R14">
            <v>805.79212979384192</v>
          </cell>
          <cell r="S14">
            <v>1079.57427555861</v>
          </cell>
          <cell r="T14">
            <v>4.6300000000000701</v>
          </cell>
          <cell r="U14">
            <v>137.05286380243498</v>
          </cell>
          <cell r="V14">
            <v>737.64372756213902</v>
          </cell>
          <cell r="W14">
            <v>1002.58313564726</v>
          </cell>
          <cell r="X14">
            <v>20.857019999999498</v>
          </cell>
          <cell r="Y14">
            <v>65.860506735273589</v>
          </cell>
          <cell r="Z14">
            <v>499.036226541573</v>
          </cell>
          <cell r="AA14">
            <v>1023.57865170069</v>
          </cell>
          <cell r="AB14">
            <v>135.148390000001</v>
          </cell>
          <cell r="AC14">
            <v>73.234724065833589</v>
          </cell>
          <cell r="AD14">
            <v>1258.65361071707</v>
          </cell>
          <cell r="AE14">
            <v>945.41176083005303</v>
          </cell>
          <cell r="AF14">
            <v>3.29854000000029</v>
          </cell>
          <cell r="AG14">
            <v>208.390748434253</v>
          </cell>
          <cell r="AH14">
            <v>887.78871980239001</v>
          </cell>
          <cell r="AI14">
            <v>938.572826404382</v>
          </cell>
          <cell r="AJ14">
            <v>3.2988900000001</v>
          </cell>
          <cell r="AK14">
            <v>116.46419078364001</v>
          </cell>
          <cell r="AL14">
            <v>1709.8694841777301</v>
          </cell>
          <cell r="AP14">
            <v>0</v>
          </cell>
          <cell r="AT14">
            <v>0</v>
          </cell>
          <cell r="AX14">
            <v>0</v>
          </cell>
          <cell r="AZ14">
            <v>8724.8866129815888</v>
          </cell>
          <cell r="BA14">
            <v>3067.7917830776378</v>
          </cell>
          <cell r="BB14">
            <v>875.48751095204182</v>
          </cell>
          <cell r="BC14">
            <v>7036.2404124398236</v>
          </cell>
          <cell r="BE14">
            <v>2705.0453157355541</v>
          </cell>
          <cell r="BF14">
            <v>2886.3157788739622</v>
          </cell>
          <cell r="BG14">
            <v>205.00216681043261</v>
          </cell>
          <cell r="BH14">
            <v>1137.4565138450798</v>
          </cell>
          <cell r="BI14">
            <v>3112.2780583109097</v>
          </cell>
          <cell r="BJ14">
            <v>39.73018420367427</v>
          </cell>
          <cell r="BK14">
            <v>272.39568085788267</v>
          </cell>
          <cell r="BL14">
            <v>2042.4720838975541</v>
          </cell>
          <cell r="BM14">
            <v>2907.5632389351249</v>
          </cell>
          <cell r="BN14">
            <v>141.7458200000014</v>
          </cell>
          <cell r="BO14">
            <v>398.08966328372657</v>
          </cell>
          <cell r="BP14">
            <v>3856.3118146971901</v>
          </cell>
        </row>
        <row r="15">
          <cell r="D15">
            <v>12322.944</v>
          </cell>
          <cell r="E15">
            <v>330.00000000000199</v>
          </cell>
          <cell r="F15">
            <v>2.44472175836563E-12</v>
          </cell>
          <cell r="G15">
            <v>4526.3280000000104</v>
          </cell>
          <cell r="H15">
            <v>2419.3540400000202</v>
          </cell>
          <cell r="I15">
            <v>330</v>
          </cell>
          <cell r="J15">
            <v>330.00000000000699</v>
          </cell>
          <cell r="K15">
            <v>12123.65</v>
          </cell>
          <cell r="L15">
            <v>9261.1463100000001</v>
          </cell>
          <cell r="M15">
            <v>1961.183</v>
          </cell>
          <cell r="N15">
            <v>329.99999999999903</v>
          </cell>
          <cell r="O15">
            <v>7656.6016900000004</v>
          </cell>
          <cell r="P15">
            <v>6142.4075000000003</v>
          </cell>
          <cell r="Q15">
            <v>330</v>
          </cell>
          <cell r="R15">
            <v>2839.5369999999998</v>
          </cell>
          <cell r="S15">
            <v>6182.7449999999899</v>
          </cell>
          <cell r="T15">
            <v>4379.99999999999</v>
          </cell>
          <cell r="U15">
            <v>329.99999999999801</v>
          </cell>
          <cell r="V15">
            <v>1820.76773</v>
          </cell>
          <cell r="W15">
            <v>7436.9632200000897</v>
          </cell>
          <cell r="X15">
            <v>4852.5080000000198</v>
          </cell>
          <cell r="Y15">
            <v>329.99999999999403</v>
          </cell>
          <cell r="Z15">
            <v>2054.6060000000002</v>
          </cell>
          <cell r="AA15">
            <v>7478.4779999999901</v>
          </cell>
          <cell r="AB15">
            <v>-3405</v>
          </cell>
          <cell r="AC15">
            <v>330.00000000000097</v>
          </cell>
          <cell r="AD15">
            <v>2521.4279999999999</v>
          </cell>
          <cell r="AE15">
            <v>5643.4780000000101</v>
          </cell>
          <cell r="AF15">
            <v>3346.7431499999998</v>
          </cell>
          <cell r="AG15">
            <v>-5505.8641900000002</v>
          </cell>
          <cell r="AH15">
            <v>2608.4279999999999</v>
          </cell>
          <cell r="AI15">
            <v>11826.03188</v>
          </cell>
          <cell r="AJ15">
            <v>2801.8916899999999</v>
          </cell>
          <cell r="AK15">
            <v>329.99999999999096</v>
          </cell>
          <cell r="AL15">
            <v>2864.58833</v>
          </cell>
          <cell r="AP15">
            <v>0</v>
          </cell>
          <cell r="AT15">
            <v>0</v>
          </cell>
          <cell r="AX15">
            <v>0</v>
          </cell>
          <cell r="AZ15">
            <v>68392.702790000083</v>
          </cell>
          <cell r="BA15">
            <v>42121.994690000036</v>
          </cell>
          <cell r="BB15">
            <v>-1234.6811900000143</v>
          </cell>
          <cell r="BC15">
            <v>15369.355060000009</v>
          </cell>
          <cell r="BE15">
            <v>22168.40500000001</v>
          </cell>
          <cell r="BF15">
            <v>24003.44435000002</v>
          </cell>
          <cell r="BG15">
            <v>2621.1830000000018</v>
          </cell>
          <cell r="BH15">
            <v>660.00000000000841</v>
          </cell>
          <cell r="BI15">
            <v>21276.30991000008</v>
          </cell>
          <cell r="BJ15">
            <v>15374.91550000001</v>
          </cell>
          <cell r="BK15">
            <v>989.99999999999204</v>
          </cell>
          <cell r="BL15">
            <v>6714.9107299999996</v>
          </cell>
          <cell r="BM15">
            <v>24947.987880000001</v>
          </cell>
          <cell r="BN15">
            <v>2743.6348399999997</v>
          </cell>
          <cell r="BO15">
            <v>-4845.8641900000084</v>
          </cell>
          <cell r="BP15">
            <v>7994.4443300000003</v>
          </cell>
        </row>
        <row r="16">
          <cell r="D16">
            <v>0</v>
          </cell>
          <cell r="E16">
            <v>0</v>
          </cell>
          <cell r="F16">
            <v>0</v>
          </cell>
          <cell r="G16">
            <v>6533.4297368785901</v>
          </cell>
          <cell r="H16">
            <v>0</v>
          </cell>
          <cell r="I16">
            <v>0</v>
          </cell>
          <cell r="J16">
            <v>0</v>
          </cell>
          <cell r="K16">
            <v>7697.3504324057994</v>
          </cell>
          <cell r="L16">
            <v>0</v>
          </cell>
          <cell r="M16">
            <v>0</v>
          </cell>
          <cell r="N16">
            <v>0</v>
          </cell>
          <cell r="O16">
            <v>6832.44587054164</v>
          </cell>
          <cell r="P16">
            <v>0</v>
          </cell>
          <cell r="Q16">
            <v>0</v>
          </cell>
          <cell r="R16">
            <v>0</v>
          </cell>
          <cell r="S16">
            <v>7187.8845017440499</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P16">
            <v>0</v>
          </cell>
          <cell r="AT16">
            <v>0</v>
          </cell>
          <cell r="AX16">
            <v>0</v>
          </cell>
          <cell r="AZ16">
            <v>36172.615266988207</v>
          </cell>
          <cell r="BA16">
            <v>0</v>
          </cell>
          <cell r="BB16">
            <v>0</v>
          </cell>
          <cell r="BC16">
            <v>0</v>
          </cell>
          <cell r="BE16">
            <v>22152.28489470252</v>
          </cell>
          <cell r="BF16">
            <v>0</v>
          </cell>
          <cell r="BG16">
            <v>0</v>
          </cell>
          <cell r="BH16">
            <v>0</v>
          </cell>
          <cell r="BI16">
            <v>14020.330372285691</v>
          </cell>
          <cell r="BJ16">
            <v>0</v>
          </cell>
          <cell r="BK16">
            <v>0</v>
          </cell>
          <cell r="BL16">
            <v>0</v>
          </cell>
          <cell r="BM16">
            <v>0</v>
          </cell>
          <cell r="BN16">
            <v>0</v>
          </cell>
          <cell r="BO16">
            <v>0</v>
          </cell>
          <cell r="BP16">
            <v>0</v>
          </cell>
        </row>
        <row r="17">
          <cell r="D17">
            <v>1873.2267596931099</v>
          </cell>
          <cell r="E17">
            <v>1824.1696500361302</v>
          </cell>
          <cell r="F17">
            <v>1703.13380468882</v>
          </cell>
          <cell r="G17">
            <v>1979.8079754342</v>
          </cell>
          <cell r="H17">
            <v>1949.8933157663498</v>
          </cell>
          <cell r="I17">
            <v>1584.59162817739</v>
          </cell>
          <cell r="J17">
            <v>1977.9143082089101</v>
          </cell>
          <cell r="K17">
            <v>2315.4300504463699</v>
          </cell>
          <cell r="L17">
            <v>1793.4615765952601</v>
          </cell>
          <cell r="M17">
            <v>2932.69081446685</v>
          </cell>
          <cell r="N17">
            <v>2226.6484454688098</v>
          </cell>
          <cell r="O17">
            <v>2460.2722569580301</v>
          </cell>
          <cell r="P17">
            <v>1622.7613060738599</v>
          </cell>
          <cell r="Q17">
            <v>1845.66698251193</v>
          </cell>
          <cell r="R17">
            <v>1904.5273006744799</v>
          </cell>
          <cell r="S17">
            <v>2190.9179713866597</v>
          </cell>
          <cell r="T17">
            <v>1654.6021392344298</v>
          </cell>
          <cell r="U17">
            <v>2044.7312204295799</v>
          </cell>
          <cell r="V17">
            <v>6022.8959344733094</v>
          </cell>
          <cell r="W17">
            <v>1872.98933294264</v>
          </cell>
          <cell r="X17">
            <v>1982.5920548811498</v>
          </cell>
          <cell r="Y17">
            <v>2247.0140039255698</v>
          </cell>
          <cell r="Z17">
            <v>1748.8469716899899</v>
          </cell>
          <cell r="AA17">
            <v>2236.8892107597703</v>
          </cell>
          <cell r="AB17">
            <v>2211.7784123931501</v>
          </cell>
          <cell r="AC17">
            <v>2231.7980656598697</v>
          </cell>
          <cell r="AD17">
            <v>2020.28820437025</v>
          </cell>
          <cell r="AE17">
            <v>2109.0458880535698</v>
          </cell>
          <cell r="AF17">
            <v>1135.1246092608799</v>
          </cell>
          <cell r="AG17">
            <v>2316.7960387394296</v>
          </cell>
          <cell r="AH17">
            <v>2676.8417910426397</v>
          </cell>
          <cell r="AI17">
            <v>1989.6093221582501</v>
          </cell>
          <cell r="AJ17">
            <v>3485.97301487596</v>
          </cell>
          <cell r="AK17">
            <v>2257.6763124695403</v>
          </cell>
          <cell r="AL17">
            <v>2454.5348279095501</v>
          </cell>
          <cell r="AP17">
            <v>0</v>
          </cell>
          <cell r="AT17">
            <v>0</v>
          </cell>
          <cell r="AX17">
            <v>0</v>
          </cell>
          <cell r="AZ17">
            <v>20006.060032006339</v>
          </cell>
          <cell r="BA17">
            <v>17709.41318877415</v>
          </cell>
          <cell r="BB17">
            <v>19285.134716416287</v>
          </cell>
          <cell r="BC17">
            <v>22735.631588526754</v>
          </cell>
          <cell r="BE17">
            <v>7146.3360497474196</v>
          </cell>
          <cell r="BF17">
            <v>5616.5816520547196</v>
          </cell>
          <cell r="BG17">
            <v>6341.4520926803707</v>
          </cell>
          <cell r="BH17">
            <v>5907.6965583665396</v>
          </cell>
          <cell r="BI17">
            <v>6524.1795612873302</v>
          </cell>
          <cell r="BJ17">
            <v>5259.9555001894396</v>
          </cell>
          <cell r="BK17">
            <v>6137.4122068670804</v>
          </cell>
          <cell r="BL17">
            <v>9676.2702068377803</v>
          </cell>
          <cell r="BM17">
            <v>6335.5444209715897</v>
          </cell>
          <cell r="BN17">
            <v>6832.8760365299895</v>
          </cell>
          <cell r="BO17">
            <v>6806.2704168688397</v>
          </cell>
          <cell r="BP17">
            <v>7151.6648233224405</v>
          </cell>
        </row>
        <row r="18">
          <cell r="D18">
            <v>7433.95862505897</v>
          </cell>
          <cell r="E18">
            <v>484.86185587578302</v>
          </cell>
          <cell r="F18">
            <v>2291.0536694469401</v>
          </cell>
          <cell r="G18">
            <v>11823.049092656</v>
          </cell>
          <cell r="H18">
            <v>8716.4118189500787</v>
          </cell>
          <cell r="I18">
            <v>164.434356882347</v>
          </cell>
          <cell r="J18">
            <v>1873.5713518075502</v>
          </cell>
          <cell r="K18">
            <v>7453.5193241663692</v>
          </cell>
          <cell r="L18">
            <v>3303.0158847502103</v>
          </cell>
          <cell r="M18">
            <v>341.80431320717901</v>
          </cell>
          <cell r="N18">
            <v>1480.9826908237301</v>
          </cell>
          <cell r="O18">
            <v>6920.9761811524304</v>
          </cell>
          <cell r="P18">
            <v>399.80867172420102</v>
          </cell>
          <cell r="Q18">
            <v>264.49071276282598</v>
          </cell>
          <cell r="R18">
            <v>1238.29431248315</v>
          </cell>
          <cell r="S18">
            <v>9325.9184478578791</v>
          </cell>
          <cell r="T18">
            <v>-1119.93901824664</v>
          </cell>
          <cell r="U18">
            <v>120.931346890917</v>
          </cell>
          <cell r="V18">
            <v>7900.4150185999006</v>
          </cell>
          <cell r="W18">
            <v>6937.6598417259693</v>
          </cell>
          <cell r="X18">
            <v>1248.5176766227801</v>
          </cell>
          <cell r="Y18">
            <v>346.19692962811996</v>
          </cell>
          <cell r="Z18">
            <v>7067.7506153206796</v>
          </cell>
          <cell r="AA18">
            <v>11166.2595395673</v>
          </cell>
          <cell r="AB18">
            <v>308.737784243975</v>
          </cell>
          <cell r="AC18">
            <v>572.46747258937796</v>
          </cell>
          <cell r="AD18">
            <v>2825.0017123268199</v>
          </cell>
          <cell r="AE18">
            <v>6571.7256891725801</v>
          </cell>
          <cell r="AF18">
            <v>228.169735358022</v>
          </cell>
          <cell r="AG18">
            <v>957.67690009317005</v>
          </cell>
          <cell r="AH18">
            <v>2377.03412151065</v>
          </cell>
          <cell r="AI18">
            <v>7657.0957746452996</v>
          </cell>
          <cell r="AJ18">
            <v>268.898397355528</v>
          </cell>
          <cell r="AK18">
            <v>2900.8819611650902</v>
          </cell>
          <cell r="AL18">
            <v>1984.8704400444999</v>
          </cell>
          <cell r="AP18">
            <v>0</v>
          </cell>
          <cell r="AT18">
            <v>0</v>
          </cell>
          <cell r="AX18">
            <v>0</v>
          </cell>
          <cell r="AZ18">
            <v>77518.536185139499</v>
          </cell>
          <cell r="BA18">
            <v>20787.579575817123</v>
          </cell>
          <cell r="BB18">
            <v>6153.7458490948102</v>
          </cell>
          <cell r="BC18">
            <v>29038.973932363919</v>
          </cell>
          <cell r="BE18">
            <v>28938.900711018028</v>
          </cell>
          <cell r="BF18">
            <v>19453.386328759258</v>
          </cell>
          <cell r="BG18">
            <v>991.10052596530898</v>
          </cell>
          <cell r="BH18">
            <v>5645.6077120782202</v>
          </cell>
          <cell r="BI18">
            <v>23184.554470736279</v>
          </cell>
          <cell r="BJ18">
            <v>528.38733010034116</v>
          </cell>
          <cell r="BK18">
            <v>731.61898928186292</v>
          </cell>
          <cell r="BL18">
            <v>16206.459946403729</v>
          </cell>
          <cell r="BM18">
            <v>25395.081003385178</v>
          </cell>
          <cell r="BN18">
            <v>805.80591695752503</v>
          </cell>
          <cell r="BO18">
            <v>4431.0263338476379</v>
          </cell>
          <cell r="BP18">
            <v>7186.9062738819703</v>
          </cell>
        </row>
        <row r="19">
          <cell r="D19">
            <v>997.65516856058014</v>
          </cell>
          <cell r="E19">
            <v>17637.391681871213</v>
          </cell>
          <cell r="F19">
            <v>-15949.11186690672</v>
          </cell>
          <cell r="G19">
            <v>1820.0455359157502</v>
          </cell>
          <cell r="H19">
            <v>6669.4301222700406</v>
          </cell>
          <cell r="I19">
            <v>17698.122592366977</v>
          </cell>
          <cell r="J19">
            <v>7024.405091990453</v>
          </cell>
          <cell r="K19">
            <v>5146.3664775765201</v>
          </cell>
          <cell r="L19">
            <v>24841.159062138879</v>
          </cell>
          <cell r="M19">
            <v>21229.53335050273</v>
          </cell>
          <cell r="N19">
            <v>34992.36419437742</v>
          </cell>
          <cell r="O19">
            <v>1240.6720974057</v>
          </cell>
          <cell r="P19">
            <v>13117.894372876059</v>
          </cell>
          <cell r="Q19">
            <v>14470.726265811658</v>
          </cell>
          <cell r="R19">
            <v>6976.5601651049392</v>
          </cell>
          <cell r="S19">
            <v>3458.1599853054299</v>
          </cell>
          <cell r="T19">
            <v>83479.463073225896</v>
          </cell>
          <cell r="U19">
            <v>15709.170706916473</v>
          </cell>
          <cell r="V19">
            <v>2195.8416018934049</v>
          </cell>
          <cell r="W19">
            <v>5927.7120684320898</v>
          </cell>
          <cell r="X19">
            <v>7552.8736166091803</v>
          </cell>
          <cell r="Y19">
            <v>17684.943857355331</v>
          </cell>
          <cell r="Z19">
            <v>3601.3063510565999</v>
          </cell>
          <cell r="AA19">
            <v>1754.9658930465159</v>
          </cell>
          <cell r="AB19">
            <v>19233.760160055132</v>
          </cell>
          <cell r="AC19">
            <v>9222.9652975429981</v>
          </cell>
          <cell r="AD19">
            <v>2730.1913085847777</v>
          </cell>
          <cell r="AE19">
            <v>2481.8359898652657</v>
          </cell>
          <cell r="AF19">
            <v>38873.431986475371</v>
          </cell>
          <cell r="AG19">
            <v>11726.77998279715</v>
          </cell>
          <cell r="AH19">
            <v>1666.3186112704029</v>
          </cell>
          <cell r="AI19">
            <v>6044.58275472073</v>
          </cell>
          <cell r="AJ19">
            <v>32105.526616272298</v>
          </cell>
          <cell r="AK19">
            <v>8243.021430074994</v>
          </cell>
          <cell r="AL19">
            <v>-2910.0871110852599</v>
          </cell>
          <cell r="AP19">
            <v>0</v>
          </cell>
          <cell r="AT19">
            <v>0</v>
          </cell>
          <cell r="AX19">
            <v>0</v>
          </cell>
          <cell r="AZ19">
            <v>29419.077767859013</v>
          </cell>
          <cell r="BA19">
            <v>226871.19417848339</v>
          </cell>
          <cell r="BB19">
            <v>133622.65516523953</v>
          </cell>
          <cell r="BC19">
            <v>40327.788346286019</v>
          </cell>
          <cell r="BE19">
            <v>8511.1489790832802</v>
          </cell>
          <cell r="BF19">
            <v>32508.244352969501</v>
          </cell>
          <cell r="BG19">
            <v>56565.047624740917</v>
          </cell>
          <cell r="BH19">
            <v>26067.657419461153</v>
          </cell>
          <cell r="BI19">
            <v>10626.54415114322</v>
          </cell>
          <cell r="BJ19">
            <v>104150.23106271114</v>
          </cell>
          <cell r="BK19">
            <v>47864.840830083456</v>
          </cell>
          <cell r="BL19">
            <v>12773.708118054943</v>
          </cell>
          <cell r="BM19">
            <v>10281.384637632513</v>
          </cell>
          <cell r="BN19">
            <v>90212.718762802804</v>
          </cell>
          <cell r="BO19">
            <v>29192.766710415141</v>
          </cell>
          <cell r="BP19">
            <v>1486.4228087699207</v>
          </cell>
        </row>
        <row r="20">
          <cell r="AZ20">
            <v>0</v>
          </cell>
          <cell r="BA20">
            <v>0</v>
          </cell>
          <cell r="BB20">
            <v>0</v>
          </cell>
          <cell r="BC20">
            <v>0</v>
          </cell>
          <cell r="BE20">
            <v>0</v>
          </cell>
          <cell r="BF20">
            <v>0</v>
          </cell>
          <cell r="BG20">
            <v>0</v>
          </cell>
          <cell r="BH20">
            <v>0</v>
          </cell>
          <cell r="BI20">
            <v>0</v>
          </cell>
          <cell r="BJ20">
            <v>0</v>
          </cell>
          <cell r="BK20">
            <v>0</v>
          </cell>
          <cell r="BL20">
            <v>0</v>
          </cell>
          <cell r="BM20">
            <v>0</v>
          </cell>
          <cell r="BN20">
            <v>0</v>
          </cell>
          <cell r="BO20">
            <v>0</v>
          </cell>
          <cell r="BP20">
            <v>0</v>
          </cell>
        </row>
        <row r="22">
          <cell r="D22">
            <v>-170570.01271089472</v>
          </cell>
          <cell r="E22">
            <v>-82298.586847869534</v>
          </cell>
          <cell r="F22">
            <v>-90995.194384810791</v>
          </cell>
          <cell r="G22">
            <v>-161127.58038023373</v>
          </cell>
          <cell r="H22">
            <v>-124318.60354165141</v>
          </cell>
          <cell r="I22">
            <v>-77967.029290604725</v>
          </cell>
          <cell r="J22">
            <v>-96040.661220252281</v>
          </cell>
          <cell r="K22">
            <v>-141632.83947216035</v>
          </cell>
          <cell r="L22">
            <v>-111226.70954132902</v>
          </cell>
          <cell r="M22">
            <v>-74043.207147680747</v>
          </cell>
          <cell r="N22">
            <v>-97217.025309619421</v>
          </cell>
          <cell r="O22">
            <v>-144746.85035049854</v>
          </cell>
          <cell r="P22">
            <v>-59916.945828982054</v>
          </cell>
          <cell r="Q22">
            <v>-77754.685260396203</v>
          </cell>
          <cell r="R22">
            <v>-98823.447212823201</v>
          </cell>
          <cell r="S22">
            <v>-142629.76701179869</v>
          </cell>
          <cell r="T22">
            <v>-95823.736836728785</v>
          </cell>
          <cell r="U22">
            <v>-77233.223731321355</v>
          </cell>
          <cell r="V22">
            <v>-100889.81084324734</v>
          </cell>
          <cell r="W22">
            <v>-144864.26978929082</v>
          </cell>
          <cell r="X22">
            <v>-18310.509616752734</v>
          </cell>
          <cell r="Y22">
            <v>-77154.078330772856</v>
          </cell>
          <cell r="Z22">
            <v>-89920.089458035567</v>
          </cell>
          <cell r="AA22">
            <v>-158422.16648256034</v>
          </cell>
          <cell r="AB22">
            <v>-76187.086086302399</v>
          </cell>
          <cell r="AC22">
            <v>-84214.812498787011</v>
          </cell>
          <cell r="AD22">
            <v>-97654.705176235409</v>
          </cell>
          <cell r="AE22">
            <v>-133242.52207243911</v>
          </cell>
          <cell r="AF22">
            <v>-65041.892806581389</v>
          </cell>
          <cell r="AG22">
            <v>-81656.958808381998</v>
          </cell>
          <cell r="AH22">
            <v>-105632.35252009891</v>
          </cell>
          <cell r="AI22">
            <v>-155107.35182608053</v>
          </cell>
          <cell r="AJ22">
            <v>-54908.270831680587</v>
          </cell>
          <cell r="AK22">
            <v>-86572.795987143531</v>
          </cell>
          <cell r="AL22">
            <v>-98876.367097218943</v>
          </cell>
          <cell r="AP22">
            <v>0</v>
          </cell>
          <cell r="AT22">
            <v>0</v>
          </cell>
          <cell r="AX22">
            <v>0</v>
          </cell>
          <cell r="AZ22">
            <v>-1355024.4571453403</v>
          </cell>
          <cell r="BA22">
            <v>-776303.76780090318</v>
          </cell>
          <cell r="BB22">
            <v>-718895.37790295796</v>
          </cell>
          <cell r="BC22">
            <v>-876049.65322234191</v>
          </cell>
          <cell r="BE22">
            <v>-476011.52961267234</v>
          </cell>
          <cell r="BF22">
            <v>-406115.32579387509</v>
          </cell>
          <cell r="BG22">
            <v>-234308.82328615501</v>
          </cell>
          <cell r="BH22">
            <v>-284252.88091468246</v>
          </cell>
          <cell r="BI22">
            <v>-432240.88715158805</v>
          </cell>
          <cell r="BJ22">
            <v>-174051.1922824636</v>
          </cell>
          <cell r="BK22">
            <v>-232141.9873224904</v>
          </cell>
          <cell r="BL22">
            <v>-289633.34751410614</v>
          </cell>
          <cell r="BM22">
            <v>-446772.04038108001</v>
          </cell>
          <cell r="BN22">
            <v>-196137.24972456438</v>
          </cell>
          <cell r="BO22">
            <v>-252444.5672943125</v>
          </cell>
          <cell r="BP22">
            <v>-302163.42479355331</v>
          </cell>
        </row>
        <row r="23">
          <cell r="D23">
            <v>-69999.690850320505</v>
          </cell>
          <cell r="E23">
            <v>-29298.482995371003</v>
          </cell>
          <cell r="F23">
            <v>-36246.941084111801</v>
          </cell>
          <cell r="G23">
            <v>-59517.512468782501</v>
          </cell>
          <cell r="H23">
            <v>-43703.806945860197</v>
          </cell>
          <cell r="I23">
            <v>-27665.958442141113</v>
          </cell>
          <cell r="J23">
            <v>-37057.52680341118</v>
          </cell>
          <cell r="K23">
            <v>-54589.227227032097</v>
          </cell>
          <cell r="L23">
            <v>-42793.767448423801</v>
          </cell>
          <cell r="M23">
            <v>-22829.037323627399</v>
          </cell>
          <cell r="N23">
            <v>-35762.374556313764</v>
          </cell>
          <cell r="O23">
            <v>-53399.999934883599</v>
          </cell>
          <cell r="P23">
            <v>-23330.859463168639</v>
          </cell>
          <cell r="Q23">
            <v>-28345.267767141788</v>
          </cell>
          <cell r="R23">
            <v>-36897.278162389666</v>
          </cell>
          <cell r="S23">
            <v>-54518.534030195202</v>
          </cell>
          <cell r="T23">
            <v>-26415.872685009002</v>
          </cell>
          <cell r="U23">
            <v>-26833.003320175219</v>
          </cell>
          <cell r="V23">
            <v>-37116.886496862709</v>
          </cell>
          <cell r="W23">
            <v>-54191.215649791404</v>
          </cell>
          <cell r="X23">
            <v>-13782.981532147225</v>
          </cell>
          <cell r="Y23">
            <v>-26599.26391169801</v>
          </cell>
          <cell r="Z23">
            <v>-35645.17246942495</v>
          </cell>
          <cell r="AA23">
            <v>-56467.5007110468</v>
          </cell>
          <cell r="AB23">
            <v>-27095.669060238808</v>
          </cell>
          <cell r="AC23">
            <v>-30671.443908520858</v>
          </cell>
          <cell r="AD23">
            <v>-38645.107307683902</v>
          </cell>
          <cell r="AE23">
            <v>-47090.824264558098</v>
          </cell>
          <cell r="AF23">
            <v>-24700.32349357185</v>
          </cell>
          <cell r="AG23">
            <v>-29874.792613760008</v>
          </cell>
          <cell r="AH23">
            <v>-37140.583432852036</v>
          </cell>
          <cell r="AI23">
            <v>-50581.384417378998</v>
          </cell>
          <cell r="AJ23">
            <v>-19954.581523593428</v>
          </cell>
          <cell r="AK23">
            <v>-31741.312265096702</v>
          </cell>
          <cell r="AL23">
            <v>-37757.540164997801</v>
          </cell>
          <cell r="AP23">
            <v>0</v>
          </cell>
          <cell r="AT23">
            <v>0</v>
          </cell>
          <cell r="AX23">
            <v>0</v>
          </cell>
          <cell r="AZ23">
            <v>-494729.29271469422</v>
          </cell>
          <cell r="BA23">
            <v>-291777.55300233338</v>
          </cell>
          <cell r="BB23">
            <v>-253858.56254753211</v>
          </cell>
          <cell r="BC23">
            <v>-332269.41047804785</v>
          </cell>
          <cell r="BE23">
            <v>-178479.83370684012</v>
          </cell>
          <cell r="BF23">
            <v>-156497.2652446045</v>
          </cell>
          <cell r="BG23">
            <v>-79793.478761139515</v>
          </cell>
          <cell r="BH23">
            <v>-109066.84244383674</v>
          </cell>
          <cell r="BI23">
            <v>-162109.7496148702</v>
          </cell>
          <cell r="BJ23">
            <v>-63529.713680324872</v>
          </cell>
          <cell r="BK23">
            <v>-81777.534999015013</v>
          </cell>
          <cell r="BL23">
            <v>-109659.33712867732</v>
          </cell>
          <cell r="BM23">
            <v>-154139.70939298387</v>
          </cell>
          <cell r="BN23">
            <v>-71750.57407740409</v>
          </cell>
          <cell r="BO23">
            <v>-92287.548787377571</v>
          </cell>
          <cell r="BP23">
            <v>-113543.23090553374</v>
          </cell>
        </row>
        <row r="24">
          <cell r="D24">
            <v>-15991.32558726836</v>
          </cell>
          <cell r="E24">
            <v>-6548.2130171996696</v>
          </cell>
          <cell r="F24">
            <v>-10105.874549508508</v>
          </cell>
          <cell r="G24">
            <v>-17235.564539540828</v>
          </cell>
          <cell r="H24">
            <v>-13758.548454854541</v>
          </cell>
          <cell r="I24">
            <v>-5468.0742988287302</v>
          </cell>
          <cell r="J24">
            <v>-8286.4993800723605</v>
          </cell>
          <cell r="K24">
            <v>-13998.85527338372</v>
          </cell>
          <cell r="L24">
            <v>-14014.644438043691</v>
          </cell>
          <cell r="M24">
            <v>-4072.8484808617</v>
          </cell>
          <cell r="N24">
            <v>-9594.3858008900606</v>
          </cell>
          <cell r="O24">
            <v>-14298.07605634388</v>
          </cell>
          <cell r="P24">
            <v>1838.092664365543</v>
          </cell>
          <cell r="Q24">
            <v>-3310.19151073173</v>
          </cell>
          <cell r="R24">
            <v>-8722.7511363717913</v>
          </cell>
          <cell r="S24">
            <v>-15238.57162282054</v>
          </cell>
          <cell r="T24">
            <v>-2020.9062893215851</v>
          </cell>
          <cell r="U24">
            <v>-4940.6460068554197</v>
          </cell>
          <cell r="V24">
            <v>-10193.49957211909</v>
          </cell>
          <cell r="W24">
            <v>-14739.832358409631</v>
          </cell>
          <cell r="X24">
            <v>-3405.1197727385702</v>
          </cell>
          <cell r="Y24">
            <v>-6561.6262199876901</v>
          </cell>
          <cell r="Z24">
            <v>-8902.16090590364</v>
          </cell>
          <cell r="AA24">
            <v>-14600.735697453239</v>
          </cell>
          <cell r="AB24">
            <v>-4251.0697647196694</v>
          </cell>
          <cell r="AC24">
            <v>-5794.0864764028902</v>
          </cell>
          <cell r="AD24">
            <v>-10857.353751341961</v>
          </cell>
          <cell r="AE24">
            <v>-15286.74784320634</v>
          </cell>
          <cell r="AF24">
            <v>-7738.7179900833899</v>
          </cell>
          <cell r="AG24">
            <v>-7683.2769116034306</v>
          </cell>
          <cell r="AH24">
            <v>-12534.271750853912</v>
          </cell>
          <cell r="AI24">
            <v>-15257.768046996358</v>
          </cell>
          <cell r="AJ24">
            <v>487.24752500095104</v>
          </cell>
          <cell r="AK24">
            <v>-4359.6710876928801</v>
          </cell>
          <cell r="AL24">
            <v>-11212.19290899246</v>
          </cell>
          <cell r="AP24">
            <v>0</v>
          </cell>
          <cell r="AT24">
            <v>0</v>
          </cell>
          <cell r="AX24">
            <v>0</v>
          </cell>
          <cell r="AZ24">
            <v>-140861.37801816466</v>
          </cell>
          <cell r="BA24">
            <v>-58854.992107663318</v>
          </cell>
          <cell r="BB24">
            <v>-48738.63401016414</v>
          </cell>
          <cell r="BC24">
            <v>-90408.989756053779</v>
          </cell>
          <cell r="BE24">
            <v>-51439.64639293465</v>
          </cell>
          <cell r="BF24">
            <v>-43764.518480166589</v>
          </cell>
          <cell r="BG24">
            <v>-16089.135796890099</v>
          </cell>
          <cell r="BH24">
            <v>-27986.759730470931</v>
          </cell>
          <cell r="BI24">
            <v>-44276.480037574052</v>
          </cell>
          <cell r="BJ24">
            <v>-3587.9333976946123</v>
          </cell>
          <cell r="BK24">
            <v>-14812.463737574839</v>
          </cell>
          <cell r="BL24">
            <v>-27818.411614394521</v>
          </cell>
          <cell r="BM24">
            <v>-45145.251587655941</v>
          </cell>
          <cell r="BN24">
            <v>-11502.540229802109</v>
          </cell>
          <cell r="BO24">
            <v>-17837.034475699202</v>
          </cell>
          <cell r="BP24">
            <v>-34603.818411188331</v>
          </cell>
        </row>
        <row r="25">
          <cell r="D25">
            <v>-1950.02062437828</v>
          </cell>
          <cell r="E25">
            <v>-777.49823091099904</v>
          </cell>
          <cell r="F25">
            <v>-721.53449643475199</v>
          </cell>
          <cell r="G25">
            <v>-1848.71870785293</v>
          </cell>
          <cell r="H25">
            <v>-1403.74169650668</v>
          </cell>
          <cell r="I25">
            <v>-735.75694525782501</v>
          </cell>
          <cell r="J25">
            <v>-885.28970097463105</v>
          </cell>
          <cell r="K25">
            <v>-1874.9923501677799</v>
          </cell>
          <cell r="L25">
            <v>-1207.92767081432</v>
          </cell>
          <cell r="M25">
            <v>-744.82269231023702</v>
          </cell>
          <cell r="N25">
            <v>-739.39893164152602</v>
          </cell>
          <cell r="O25">
            <v>-1803.2063442247099</v>
          </cell>
          <cell r="P25">
            <v>-1007.57624892205</v>
          </cell>
          <cell r="Q25">
            <v>-789.10122691854406</v>
          </cell>
          <cell r="R25">
            <v>-817.63152158879893</v>
          </cell>
          <cell r="S25">
            <v>-1606.5138938861301</v>
          </cell>
          <cell r="T25">
            <v>-2749.6900376679901</v>
          </cell>
          <cell r="U25">
            <v>-775.95925481337906</v>
          </cell>
          <cell r="V25">
            <v>-966.21451250520693</v>
          </cell>
          <cell r="W25">
            <v>-1853.9408406263799</v>
          </cell>
          <cell r="X25">
            <v>1028.0714229574899</v>
          </cell>
          <cell r="Y25">
            <v>-682.46987136065104</v>
          </cell>
          <cell r="Z25">
            <v>-809.76511571086496</v>
          </cell>
          <cell r="AA25">
            <v>-1861.7980665345599</v>
          </cell>
          <cell r="AB25">
            <v>-914.83429639041594</v>
          </cell>
          <cell r="AC25">
            <v>-788.74040652687495</v>
          </cell>
          <cell r="AD25">
            <v>-1501.56927262364</v>
          </cell>
          <cell r="AE25">
            <v>-1460.6810643921599</v>
          </cell>
          <cell r="AF25">
            <v>-326.55863162672699</v>
          </cell>
          <cell r="AG25">
            <v>-764.96605765565801</v>
          </cell>
          <cell r="AH25">
            <v>-1528.91479377011</v>
          </cell>
          <cell r="AI25">
            <v>-2929.7459069398201</v>
          </cell>
          <cell r="AJ25">
            <v>-593.15048403201297</v>
          </cell>
          <cell r="AK25">
            <v>-790.89340984744399</v>
          </cell>
          <cell r="AL25">
            <v>-1012.10128055475</v>
          </cell>
          <cell r="AP25">
            <v>0</v>
          </cell>
          <cell r="AT25">
            <v>0</v>
          </cell>
          <cell r="AX25">
            <v>0</v>
          </cell>
          <cell r="AZ25">
            <v>-16939.538201078209</v>
          </cell>
          <cell r="BA25">
            <v>-9125.4282673809848</v>
          </cell>
          <cell r="BB25">
            <v>-6850.2080956016116</v>
          </cell>
          <cell r="BC25">
            <v>-8982.4196258042793</v>
          </cell>
          <cell r="BE25">
            <v>-5423.65208447445</v>
          </cell>
          <cell r="BF25">
            <v>-4561.6899916992797</v>
          </cell>
          <cell r="BG25">
            <v>-2258.0778684790612</v>
          </cell>
          <cell r="BH25">
            <v>-2346.2231290509089</v>
          </cell>
          <cell r="BI25">
            <v>-5263.6610787372201</v>
          </cell>
          <cell r="BJ25">
            <v>-2729.1948636325506</v>
          </cell>
          <cell r="BK25">
            <v>-2247.5303530925739</v>
          </cell>
          <cell r="BL25">
            <v>-2593.6111498048708</v>
          </cell>
          <cell r="BM25">
            <v>-6252.2250378665394</v>
          </cell>
          <cell r="BN25">
            <v>-1834.5434120491559</v>
          </cell>
          <cell r="BO25">
            <v>-2344.5998740299769</v>
          </cell>
          <cell r="BP25">
            <v>-4042.5853469485</v>
          </cell>
        </row>
        <row r="26">
          <cell r="D26">
            <v>-23180.094927312399</v>
          </cell>
          <cell r="E26">
            <v>-12791.7074763074</v>
          </cell>
          <cell r="F26">
            <v>-12460.807185751401</v>
          </cell>
          <cell r="G26">
            <v>-20295.036764837001</v>
          </cell>
          <cell r="H26">
            <v>-18287.927936251202</v>
          </cell>
          <cell r="I26">
            <v>-11643.9760348368</v>
          </cell>
          <cell r="J26">
            <v>-15199.3561237418</v>
          </cell>
          <cell r="K26">
            <v>-22730.9242521993</v>
          </cell>
          <cell r="L26">
            <v>-13469.817098957799</v>
          </cell>
          <cell r="M26">
            <v>-12440.339350030801</v>
          </cell>
          <cell r="N26">
            <v>-12706.9821632108</v>
          </cell>
          <cell r="O26">
            <v>-20320.083394460002</v>
          </cell>
          <cell r="P26">
            <v>-9151.5509403373599</v>
          </cell>
          <cell r="Q26">
            <v>-11779.845851046801</v>
          </cell>
          <cell r="R26">
            <v>-14538.908105169001</v>
          </cell>
          <cell r="S26">
            <v>-19779.8064656471</v>
          </cell>
          <cell r="T26">
            <v>-14246.365839767401</v>
          </cell>
          <cell r="U26">
            <v>-11759.286064428401</v>
          </cell>
          <cell r="V26">
            <v>-14315.5377105642</v>
          </cell>
          <cell r="W26">
            <v>-21410.353718578699</v>
          </cell>
          <cell r="X26">
            <v>-4594.8814005171707</v>
          </cell>
          <cell r="Y26">
            <v>-11753.854116946501</v>
          </cell>
          <cell r="Z26">
            <v>-9803.1866597249191</v>
          </cell>
          <cell r="AA26">
            <v>-18117.6777330312</v>
          </cell>
          <cell r="AB26">
            <v>-12280.434006899801</v>
          </cell>
          <cell r="AC26">
            <v>-13756.0663883094</v>
          </cell>
          <cell r="AD26">
            <v>-11186.489835192098</v>
          </cell>
          <cell r="AE26">
            <v>-16117.538874690499</v>
          </cell>
          <cell r="AF26">
            <v>-9876.5252786410801</v>
          </cell>
          <cell r="AG26">
            <v>-9725.5224514599413</v>
          </cell>
          <cell r="AH26">
            <v>-13835.6883404852</v>
          </cell>
          <cell r="AI26">
            <v>-18374.726693811899</v>
          </cell>
          <cell r="AJ26">
            <v>-9547.6818579603405</v>
          </cell>
          <cell r="AK26">
            <v>-13193.7345714802</v>
          </cell>
          <cell r="AL26">
            <v>-12365.5448450392</v>
          </cell>
          <cell r="AP26">
            <v>0</v>
          </cell>
          <cell r="AT26">
            <v>0</v>
          </cell>
          <cell r="AX26">
            <v>0</v>
          </cell>
          <cell r="AZ26">
            <v>-177324.19692216138</v>
          </cell>
          <cell r="BA26">
            <v>-114635.27928664457</v>
          </cell>
          <cell r="BB26">
            <v>-108844.33230484623</v>
          </cell>
          <cell r="BC26">
            <v>-116412.50096887861</v>
          </cell>
          <cell r="BE26">
            <v>-63204.010041942005</v>
          </cell>
          <cell r="BF26">
            <v>-54937.839962521401</v>
          </cell>
          <cell r="BG26">
            <v>-36876.022861174999</v>
          </cell>
          <cell r="BH26">
            <v>-40367.145472703996</v>
          </cell>
          <cell r="BI26">
            <v>-61510.243578685797</v>
          </cell>
          <cell r="BJ26">
            <v>-27992.798180621929</v>
          </cell>
          <cell r="BK26">
            <v>-35292.986032421701</v>
          </cell>
          <cell r="BL26">
            <v>-38657.632475458122</v>
          </cell>
          <cell r="BM26">
            <v>-52609.943301533596</v>
          </cell>
          <cell r="BN26">
            <v>-31704.64114350122</v>
          </cell>
          <cell r="BO26">
            <v>-36675.323411249541</v>
          </cell>
          <cell r="BP26">
            <v>-37387.723020716498</v>
          </cell>
        </row>
        <row r="27">
          <cell r="D27">
            <v>-31899.842882930301</v>
          </cell>
          <cell r="E27">
            <v>-16752.859344727</v>
          </cell>
          <cell r="F27">
            <v>-16290.50426297</v>
          </cell>
          <cell r="G27">
            <v>-31568.228113548899</v>
          </cell>
          <cell r="H27">
            <v>-27125.454460079</v>
          </cell>
          <cell r="I27">
            <v>-16609.0179021617</v>
          </cell>
          <cell r="J27">
            <v>-18777.600519952601</v>
          </cell>
          <cell r="K27">
            <v>-33637.9944542058</v>
          </cell>
          <cell r="L27">
            <v>-23833.793951978099</v>
          </cell>
          <cell r="M27">
            <v>-16864.776642110097</v>
          </cell>
          <cell r="N27">
            <v>-18965.745033239902</v>
          </cell>
          <cell r="O27">
            <v>-30616.630731902802</v>
          </cell>
          <cell r="P27">
            <v>-16142.993946050299</v>
          </cell>
          <cell r="Q27">
            <v>-17161.8947702367</v>
          </cell>
          <cell r="R27">
            <v>-19893.286586504499</v>
          </cell>
          <cell r="S27">
            <v>-30254.891752735202</v>
          </cell>
          <cell r="T27">
            <v>-22032.669440457197</v>
          </cell>
          <cell r="U27">
            <v>-15257.6083137799</v>
          </cell>
          <cell r="V27">
            <v>-20104.450521010498</v>
          </cell>
          <cell r="W27">
            <v>-28664.723269332699</v>
          </cell>
          <cell r="X27">
            <v>-11007.011025134199</v>
          </cell>
          <cell r="Y27">
            <v>-15911.017055681699</v>
          </cell>
          <cell r="Z27">
            <v>-18086.690219246997</v>
          </cell>
          <cell r="AA27">
            <v>-33383.441441815601</v>
          </cell>
          <cell r="AB27">
            <v>-16088.8449163075</v>
          </cell>
          <cell r="AC27">
            <v>-16761.0398049008</v>
          </cell>
          <cell r="AD27">
            <v>-18455.1181901897</v>
          </cell>
          <cell r="AE27">
            <v>-24489.538735370199</v>
          </cell>
          <cell r="AF27">
            <v>-13295.270481625101</v>
          </cell>
          <cell r="AG27">
            <v>-16441.875491225899</v>
          </cell>
          <cell r="AH27">
            <v>-22806.243143236799</v>
          </cell>
          <cell r="AI27">
            <v>-27707.313968201001</v>
          </cell>
          <cell r="AJ27">
            <v>-11318.013338548501</v>
          </cell>
          <cell r="AK27">
            <v>-17818.394369157199</v>
          </cell>
          <cell r="AL27">
            <v>-20119.5548678903</v>
          </cell>
          <cell r="AP27">
            <v>0</v>
          </cell>
          <cell r="AT27">
            <v>0</v>
          </cell>
          <cell r="AX27">
            <v>0</v>
          </cell>
          <cell r="AZ27">
            <v>-271902.2265898746</v>
          </cell>
          <cell r="BA27">
            <v>-172743.89444311021</v>
          </cell>
          <cell r="BB27">
            <v>-149578.48369398099</v>
          </cell>
          <cell r="BC27">
            <v>-173499.1933442413</v>
          </cell>
          <cell r="BE27">
            <v>-96785.68669051709</v>
          </cell>
          <cell r="BF27">
            <v>-82859.091294987389</v>
          </cell>
          <cell r="BG27">
            <v>-50226.653888998801</v>
          </cell>
          <cell r="BH27">
            <v>-54033.849816162503</v>
          </cell>
          <cell r="BI27">
            <v>-89536.245753970696</v>
          </cell>
          <cell r="BJ27">
            <v>-49182.674411641696</v>
          </cell>
          <cell r="BK27">
            <v>-48330.520139698303</v>
          </cell>
          <cell r="BL27">
            <v>-58084.427326762001</v>
          </cell>
          <cell r="BM27">
            <v>-85580.294145386812</v>
          </cell>
          <cell r="BN27">
            <v>-40702.1287364811</v>
          </cell>
          <cell r="BO27">
            <v>-51021.309665283894</v>
          </cell>
          <cell r="BP27">
            <v>-61380.916201316795</v>
          </cell>
        </row>
        <row r="28">
          <cell r="D28">
            <v>-25898.84225344571</v>
          </cell>
          <cell r="E28">
            <v>-15393.351425257226</v>
          </cell>
          <cell r="F28">
            <v>-14398.669713578694</v>
          </cell>
          <cell r="G28">
            <v>-29778.898585936728</v>
          </cell>
          <cell r="H28">
            <v>-19205.156186050714</v>
          </cell>
          <cell r="I28">
            <v>-14597.25340450464</v>
          </cell>
          <cell r="J28">
            <v>-14944.700451789995</v>
          </cell>
          <cell r="K28">
            <v>-13626.219159494172</v>
          </cell>
          <cell r="L28">
            <v>-11409.88245132778</v>
          </cell>
          <cell r="M28">
            <v>-16344.74815067037</v>
          </cell>
          <cell r="N28">
            <v>-17640.95156536475</v>
          </cell>
          <cell r="O28">
            <v>-22502.925079125187</v>
          </cell>
          <cell r="P28">
            <v>-11205.276114588738</v>
          </cell>
          <cell r="Q28">
            <v>-15402.82613571882</v>
          </cell>
          <cell r="R28">
            <v>-17239.162953032115</v>
          </cell>
          <cell r="S28">
            <v>-20029.968284862596</v>
          </cell>
          <cell r="T28">
            <v>-26104.313288467376</v>
          </cell>
          <cell r="U28">
            <v>-16893.580788728406</v>
          </cell>
          <cell r="V28">
            <v>-17450.635223307305</v>
          </cell>
          <cell r="W28">
            <v>-21788.069443697368</v>
          </cell>
          <cell r="X28">
            <v>13739.40129900067</v>
          </cell>
          <cell r="Y28">
            <v>-14723.305628104608</v>
          </cell>
          <cell r="Z28">
            <v>-15964.185703348949</v>
          </cell>
          <cell r="AA28">
            <v>-32096.119991695068</v>
          </cell>
          <cell r="AB28">
            <v>-14511.345785582225</v>
          </cell>
          <cell r="AC28">
            <v>-15633.737834144638</v>
          </cell>
          <cell r="AD28">
            <v>-16192.563899990306</v>
          </cell>
          <cell r="AE28">
            <v>-29658.810594369857</v>
          </cell>
          <cell r="AF28">
            <v>-9237.3009721291983</v>
          </cell>
          <cell r="AG28">
            <v>-16264.142326150126</v>
          </cell>
          <cell r="AH28">
            <v>-16978.805885302925</v>
          </cell>
          <cell r="AI28">
            <v>-38751.408586267869</v>
          </cell>
          <cell r="AJ28">
            <v>-13329.564882361361</v>
          </cell>
          <cell r="AK28">
            <v>-17972.926589372906</v>
          </cell>
          <cell r="AL28">
            <v>-15601.335947526248</v>
          </cell>
          <cell r="AP28">
            <v>0</v>
          </cell>
          <cell r="AT28">
            <v>0</v>
          </cell>
          <cell r="AX28">
            <v>0</v>
          </cell>
          <cell r="AZ28">
            <v>-239212.39199548625</v>
          </cell>
          <cell r="BA28">
            <v>-117162.28063495243</v>
          </cell>
          <cell r="BB28">
            <v>-143225.87228265175</v>
          </cell>
          <cell r="BC28">
            <v>-146411.01134324129</v>
          </cell>
          <cell r="BE28">
            <v>-74385.090015468289</v>
          </cell>
          <cell r="BF28">
            <v>-56513.880890824206</v>
          </cell>
          <cell r="BG28">
            <v>-46335.352980432232</v>
          </cell>
          <cell r="BH28">
            <v>-46984.321730733442</v>
          </cell>
          <cell r="BI28">
            <v>-64320.962807685151</v>
          </cell>
          <cell r="BJ28">
            <v>-23570.188104055447</v>
          </cell>
          <cell r="BK28">
            <v>-47019.712552551835</v>
          </cell>
          <cell r="BL28">
            <v>-50653.983879688371</v>
          </cell>
          <cell r="BM28">
            <v>-100506.33917233279</v>
          </cell>
          <cell r="BN28">
            <v>-37078.211640072783</v>
          </cell>
          <cell r="BO28">
            <v>-49870.806749667667</v>
          </cell>
          <cell r="BP28">
            <v>-48772.705732819479</v>
          </cell>
        </row>
        <row r="29">
          <cell r="D29">
            <v>-1650.1955852391857</v>
          </cell>
          <cell r="E29">
            <v>-736.47435809624221</v>
          </cell>
          <cell r="F29">
            <v>-770.86309245563427</v>
          </cell>
          <cell r="G29">
            <v>-883.62119973482697</v>
          </cell>
          <cell r="H29">
            <v>-833.96786204907232</v>
          </cell>
          <cell r="I29">
            <v>-1246.9922628739191</v>
          </cell>
          <cell r="J29">
            <v>-889.68824030972462</v>
          </cell>
          <cell r="K29">
            <v>-1174.6267556774633</v>
          </cell>
          <cell r="L29">
            <v>-4496.876481783529</v>
          </cell>
          <cell r="M29">
            <v>-746.63450807013896</v>
          </cell>
          <cell r="N29">
            <v>-1807.1872589586251</v>
          </cell>
          <cell r="O29">
            <v>-1805.9288095583595</v>
          </cell>
          <cell r="P29">
            <v>-916.7817802805157</v>
          </cell>
          <cell r="Q29">
            <v>-965.55799860182481</v>
          </cell>
          <cell r="R29">
            <v>-714.42874776732128</v>
          </cell>
          <cell r="S29">
            <v>-1201.4809616519071</v>
          </cell>
          <cell r="T29">
            <v>-2253.9192560382435</v>
          </cell>
          <cell r="U29">
            <v>-773.13998254062938</v>
          </cell>
          <cell r="V29">
            <v>-742.58680687832896</v>
          </cell>
          <cell r="W29">
            <v>-2216.1345088546568</v>
          </cell>
          <cell r="X29">
            <v>-287.98860817372741</v>
          </cell>
          <cell r="Y29">
            <v>-922.54152699368967</v>
          </cell>
          <cell r="Z29">
            <v>-708.92838467524825</v>
          </cell>
          <cell r="AA29">
            <v>-1894.8928409838761</v>
          </cell>
          <cell r="AB29">
            <v>-1044.8882561639841</v>
          </cell>
          <cell r="AC29">
            <v>-809.69767998152918</v>
          </cell>
          <cell r="AD29">
            <v>-816.50291921380881</v>
          </cell>
          <cell r="AE29">
            <v>861.61930414802987</v>
          </cell>
          <cell r="AF29">
            <v>132.80404109595142</v>
          </cell>
          <cell r="AG29">
            <v>-902.38295652693023</v>
          </cell>
          <cell r="AH29">
            <v>-807.84517359793517</v>
          </cell>
          <cell r="AI29">
            <v>-1505.0042064846</v>
          </cell>
          <cell r="AJ29">
            <v>-652.52627018589499</v>
          </cell>
          <cell r="AK29">
            <v>-695.86369449621259</v>
          </cell>
          <cell r="AL29">
            <v>-808.09708221819528</v>
          </cell>
          <cell r="AP29">
            <v>0</v>
          </cell>
          <cell r="AT29">
            <v>0</v>
          </cell>
          <cell r="AX29">
            <v>0</v>
          </cell>
          <cell r="AZ29">
            <v>-14055.432703881075</v>
          </cell>
          <cell r="BA29">
            <v>-12004.340058818201</v>
          </cell>
          <cell r="BB29">
            <v>-7799.2849681811167</v>
          </cell>
          <cell r="BC29">
            <v>-8066.1277060748216</v>
          </cell>
          <cell r="BE29">
            <v>-6293.6106804957053</v>
          </cell>
          <cell r="BF29">
            <v>-6981.0399290717869</v>
          </cell>
          <cell r="BG29">
            <v>-2730.1011290403003</v>
          </cell>
          <cell r="BH29">
            <v>-3467.738591723984</v>
          </cell>
          <cell r="BI29">
            <v>-5223.5442800649234</v>
          </cell>
          <cell r="BJ29">
            <v>-3458.6896444924864</v>
          </cell>
          <cell r="BK29">
            <v>-2661.2395081361437</v>
          </cell>
          <cell r="BL29">
            <v>-2165.9439393208986</v>
          </cell>
          <cell r="BM29">
            <v>-2538.2777433204465</v>
          </cell>
          <cell r="BN29">
            <v>-1564.6104852539277</v>
          </cell>
          <cell r="BO29">
            <v>-2407.9443310046722</v>
          </cell>
          <cell r="BP29">
            <v>-2432.4451750299395</v>
          </cell>
        </row>
        <row r="30">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P30">
            <v>0</v>
          </cell>
          <cell r="AT30">
            <v>0</v>
          </cell>
          <cell r="AX30">
            <v>0</v>
          </cell>
          <cell r="AZ30">
            <v>0</v>
          </cell>
          <cell r="BA30">
            <v>0</v>
          </cell>
          <cell r="BB30">
            <v>0</v>
          </cell>
          <cell r="BC30">
            <v>0</v>
          </cell>
          <cell r="BE30">
            <v>0</v>
          </cell>
          <cell r="BF30">
            <v>0</v>
          </cell>
          <cell r="BG30">
            <v>0</v>
          </cell>
          <cell r="BH30">
            <v>0</v>
          </cell>
          <cell r="BI30">
            <v>0</v>
          </cell>
          <cell r="BJ30">
            <v>0</v>
          </cell>
          <cell r="BK30">
            <v>0</v>
          </cell>
          <cell r="BL30">
            <v>0</v>
          </cell>
          <cell r="BM30">
            <v>0</v>
          </cell>
          <cell r="BN30">
            <v>0</v>
          </cell>
          <cell r="BO30">
            <v>0</v>
          </cell>
          <cell r="BP30">
            <v>0</v>
          </cell>
        </row>
        <row r="31">
          <cell r="D31">
            <v>-275210.86701652274</v>
          </cell>
          <cell r="E31">
            <v>-95670.203348679308</v>
          </cell>
          <cell r="F31">
            <v>-243526.363388903</v>
          </cell>
          <cell r="G31">
            <v>-244689.91160634803</v>
          </cell>
          <cell r="H31">
            <v>-233855.60307667608</v>
          </cell>
          <cell r="I31">
            <v>-84306.306594684094</v>
          </cell>
          <cell r="J31">
            <v>-240207.515352185</v>
          </cell>
          <cell r="K31">
            <v>-242824.89072280753</v>
          </cell>
          <cell r="L31">
            <v>-143295.76991111308</v>
          </cell>
          <cell r="M31">
            <v>-85626.038071265808</v>
          </cell>
          <cell r="N31">
            <v>-266835.625664377</v>
          </cell>
          <cell r="O31">
            <v>-234083.21844240007</v>
          </cell>
          <cell r="P31">
            <v>-22820.012442991701</v>
          </cell>
          <cell r="Q31">
            <v>-76175.844537753699</v>
          </cell>
          <cell r="R31">
            <v>-297078.70650339103</v>
          </cell>
          <cell r="S31">
            <v>-252904.6489677545</v>
          </cell>
          <cell r="T31">
            <v>-18527.611549512902</v>
          </cell>
          <cell r="U31">
            <v>-91140.133065654198</v>
          </cell>
          <cell r="V31">
            <v>-320877.76389159099</v>
          </cell>
          <cell r="W31">
            <v>-234368.61847855977</v>
          </cell>
          <cell r="X31">
            <v>-35786.578731301903</v>
          </cell>
          <cell r="Y31">
            <v>-100157.795473192</v>
          </cell>
          <cell r="Z31">
            <v>-330951.47221790801</v>
          </cell>
          <cell r="AA31">
            <v>-261099.39674788763</v>
          </cell>
          <cell r="AB31">
            <v>-31583.354241712001</v>
          </cell>
          <cell r="AC31">
            <v>-128600.12192000099</v>
          </cell>
          <cell r="AD31">
            <v>-400872.78519183397</v>
          </cell>
          <cell r="AE31">
            <v>-228628.19717404144</v>
          </cell>
          <cell r="AF31">
            <v>-38870.932991337904</v>
          </cell>
          <cell r="AG31">
            <v>-131265.37253380401</v>
          </cell>
          <cell r="AH31">
            <v>-379953.929330485</v>
          </cell>
          <cell r="AI31">
            <v>-227592.20149479818</v>
          </cell>
          <cell r="AJ31">
            <v>-39219.439014671603</v>
          </cell>
          <cell r="AK31">
            <v>-132879.74987103301</v>
          </cell>
          <cell r="AL31">
            <v>-329350.44386710698</v>
          </cell>
          <cell r="AP31">
            <v>0</v>
          </cell>
          <cell r="AT31">
            <v>0</v>
          </cell>
          <cell r="AX31">
            <v>0</v>
          </cell>
          <cell r="AZ31">
            <v>-2185226.8510153219</v>
          </cell>
          <cell r="BA31">
            <v>-839170.16897584009</v>
          </cell>
          <cell r="BB31">
            <v>-925821.56541606714</v>
          </cell>
          <cell r="BC31">
            <v>-2809654.605407781</v>
          </cell>
          <cell r="BE31">
            <v>-746550.56970988016</v>
          </cell>
          <cell r="BF31">
            <v>-652362.2400043119</v>
          </cell>
          <cell r="BG31">
            <v>-265602.54801462922</v>
          </cell>
          <cell r="BH31">
            <v>-750569.50440546498</v>
          </cell>
          <cell r="BI31">
            <v>-721356.48588871432</v>
          </cell>
          <cell r="BJ31">
            <v>-77134.202723806506</v>
          </cell>
          <cell r="BK31">
            <v>-267473.77307659993</v>
          </cell>
          <cell r="BL31">
            <v>-948907.94261289004</v>
          </cell>
          <cell r="BM31">
            <v>-717319.7954167272</v>
          </cell>
          <cell r="BN31">
            <v>-109673.72624772151</v>
          </cell>
          <cell r="BO31">
            <v>-392745.24432483804</v>
          </cell>
          <cell r="BP31">
            <v>-1110177.1583894258</v>
          </cell>
        </row>
        <row r="32">
          <cell r="D32">
            <v>-272567.91969295801</v>
          </cell>
          <cell r="E32">
            <v>-95813.943348679299</v>
          </cell>
          <cell r="F32">
            <v>-245341.21238890299</v>
          </cell>
          <cell r="G32">
            <v>-240000.11231263398</v>
          </cell>
          <cell r="H32">
            <v>-227893.03691368899</v>
          </cell>
          <cell r="I32">
            <v>-84696.99309468409</v>
          </cell>
          <cell r="J32">
            <v>-242022.36435218502</v>
          </cell>
          <cell r="K32">
            <v>-242396.296825878</v>
          </cell>
          <cell r="L32">
            <v>-137585.34932754701</v>
          </cell>
          <cell r="M32">
            <v>-86007.825571265799</v>
          </cell>
          <cell r="N32">
            <v>-268650.47466437699</v>
          </cell>
          <cell r="O32">
            <v>-235790.34070539399</v>
          </cell>
          <cell r="P32">
            <v>-22820.012442991701</v>
          </cell>
          <cell r="Q32">
            <v>-76596.469537753699</v>
          </cell>
          <cell r="R32">
            <v>-299247.10250339104</v>
          </cell>
          <cell r="S32">
            <v>-250201.654995544</v>
          </cell>
          <cell r="T32">
            <v>-18527.611549512902</v>
          </cell>
          <cell r="U32">
            <v>-91560.758065654198</v>
          </cell>
          <cell r="V32">
            <v>-323046.159891591</v>
          </cell>
          <cell r="W32">
            <v>-231091.42218219201</v>
          </cell>
          <cell r="X32">
            <v>-35786.578731301903</v>
          </cell>
          <cell r="Y32">
            <v>-100569.43047319201</v>
          </cell>
          <cell r="Z32">
            <v>-333119.86821790802</v>
          </cell>
          <cell r="AA32">
            <v>-258719.40019461399</v>
          </cell>
          <cell r="AB32">
            <v>-31583.354241712001</v>
          </cell>
          <cell r="AC32">
            <v>-129849.97792000099</v>
          </cell>
          <cell r="AD32">
            <v>-402167.62219183397</v>
          </cell>
          <cell r="AE32">
            <v>-223902.76627249501</v>
          </cell>
          <cell r="AF32">
            <v>-38870.932991337904</v>
          </cell>
          <cell r="AG32">
            <v>-132368.82853380399</v>
          </cell>
          <cell r="AH32">
            <v>-381257.41533048498</v>
          </cell>
          <cell r="AI32">
            <v>-224898.14681545901</v>
          </cell>
          <cell r="AJ32">
            <v>-39219.439014671603</v>
          </cell>
          <cell r="AK32">
            <v>-134137.413871033</v>
          </cell>
          <cell r="AL32">
            <v>-330653.92986710696</v>
          </cell>
          <cell r="AP32">
            <v>0</v>
          </cell>
          <cell r="AT32">
            <v>0</v>
          </cell>
          <cell r="AX32">
            <v>0</v>
          </cell>
          <cell r="AZ32">
            <v>-2162151.3172877249</v>
          </cell>
          <cell r="BA32">
            <v>-824854.23490572209</v>
          </cell>
          <cell r="BB32">
            <v>-931601.64041606721</v>
          </cell>
          <cell r="BC32">
            <v>-2825506.1494077807</v>
          </cell>
          <cell r="BE32">
            <v>-737547.58612202702</v>
          </cell>
          <cell r="BF32">
            <v>-638046.30593419401</v>
          </cell>
          <cell r="BG32">
            <v>-266518.7620146292</v>
          </cell>
          <cell r="BH32">
            <v>-756014.051405465</v>
          </cell>
          <cell r="BI32">
            <v>-717083.41788313002</v>
          </cell>
          <cell r="BJ32">
            <v>-77134.202723806506</v>
          </cell>
          <cell r="BK32">
            <v>-268726.65807659994</v>
          </cell>
          <cell r="BL32">
            <v>-955413.13061289</v>
          </cell>
          <cell r="BM32">
            <v>-707520.31328256801</v>
          </cell>
          <cell r="BN32">
            <v>-109673.72624772151</v>
          </cell>
          <cell r="BO32">
            <v>-396356.22032483795</v>
          </cell>
          <cell r="BP32">
            <v>-1114078.967389426</v>
          </cell>
        </row>
        <row r="33">
          <cell r="D33">
            <v>-2642.9473235647597</v>
          </cell>
          <cell r="E33">
            <v>143.74</v>
          </cell>
          <cell r="F33">
            <v>1814.8489999999999</v>
          </cell>
          <cell r="G33">
            <v>-4689.7992937140607</v>
          </cell>
          <cell r="H33">
            <v>-5962.5661629870901</v>
          </cell>
          <cell r="I33">
            <v>390.68650000000002</v>
          </cell>
          <cell r="J33">
            <v>1814.8489999999999</v>
          </cell>
          <cell r="K33">
            <v>-428.59389692952499</v>
          </cell>
          <cell r="L33">
            <v>-5710.4205835660796</v>
          </cell>
          <cell r="M33">
            <v>381.78750000000002</v>
          </cell>
          <cell r="N33">
            <v>1814.8489999999999</v>
          </cell>
          <cell r="O33">
            <v>1707.12226299394</v>
          </cell>
          <cell r="P33">
            <v>0</v>
          </cell>
          <cell r="Q33">
            <v>420.625</v>
          </cell>
          <cell r="R33">
            <v>2168.3960000000002</v>
          </cell>
          <cell r="S33">
            <v>-2702.99397221052</v>
          </cell>
          <cell r="T33">
            <v>0</v>
          </cell>
          <cell r="U33">
            <v>420.625</v>
          </cell>
          <cell r="V33">
            <v>2168.3960000000002</v>
          </cell>
          <cell r="W33">
            <v>-3277.1962963677597</v>
          </cell>
          <cell r="X33">
            <v>0</v>
          </cell>
          <cell r="Y33">
            <v>411.63499999999999</v>
          </cell>
          <cell r="Z33">
            <v>2168.3960000000002</v>
          </cell>
          <cell r="AA33">
            <v>-2379.9965532736601</v>
          </cell>
          <cell r="AB33">
            <v>0</v>
          </cell>
          <cell r="AC33">
            <v>1249.856</v>
          </cell>
          <cell r="AD33">
            <v>1294.837</v>
          </cell>
          <cell r="AE33">
            <v>-4725.4309015464505</v>
          </cell>
          <cell r="AF33">
            <v>0</v>
          </cell>
          <cell r="AG33">
            <v>1103.4559999999999</v>
          </cell>
          <cell r="AH33">
            <v>1303.4860000000001</v>
          </cell>
          <cell r="AI33">
            <v>-2694.0546793391604</v>
          </cell>
          <cell r="AJ33">
            <v>0</v>
          </cell>
          <cell r="AK33">
            <v>1257.664</v>
          </cell>
          <cell r="AL33">
            <v>1303.4860000000001</v>
          </cell>
          <cell r="AP33">
            <v>0</v>
          </cell>
          <cell r="AT33">
            <v>0</v>
          </cell>
          <cell r="AX33">
            <v>0</v>
          </cell>
          <cell r="AZ33">
            <v>-23075.53372759687</v>
          </cell>
          <cell r="BA33">
            <v>-14315.93407011793</v>
          </cell>
          <cell r="BB33">
            <v>5780.0749999999998</v>
          </cell>
          <cell r="BC33">
            <v>15851.544000000002</v>
          </cell>
          <cell r="BE33">
            <v>-9002.9835878532558</v>
          </cell>
          <cell r="BF33">
            <v>-14315.93407011793</v>
          </cell>
          <cell r="BG33">
            <v>916.21400000000006</v>
          </cell>
          <cell r="BH33">
            <v>5444.5469999999996</v>
          </cell>
          <cell r="BI33">
            <v>-4273.0680055843395</v>
          </cell>
          <cell r="BJ33">
            <v>0</v>
          </cell>
          <cell r="BK33">
            <v>1252.885</v>
          </cell>
          <cell r="BL33">
            <v>6505.1880000000001</v>
          </cell>
          <cell r="BM33">
            <v>-9799.4821341592706</v>
          </cell>
          <cell r="BN33">
            <v>0</v>
          </cell>
          <cell r="BO33">
            <v>3610.9759999999997</v>
          </cell>
          <cell r="BP33">
            <v>3901.8090000000002</v>
          </cell>
        </row>
        <row r="34">
          <cell r="D34">
            <v>-22016.723892640119</v>
          </cell>
          <cell r="E34">
            <v>-5113.0403176435402</v>
          </cell>
          <cell r="F34">
            <v>-10057.250960183301</v>
          </cell>
          <cell r="G34">
            <v>-20928.465636533947</v>
          </cell>
          <cell r="H34">
            <v>-24975.167764121841</v>
          </cell>
          <cell r="I34">
            <v>-4667.4090604987396</v>
          </cell>
          <cell r="J34">
            <v>-9277.0325032272594</v>
          </cell>
          <cell r="K34">
            <v>-14015.205382920542</v>
          </cell>
          <cell r="L34">
            <v>-9125.9120442306303</v>
          </cell>
          <cell r="M34">
            <v>-5173.5142085102689</v>
          </cell>
          <cell r="N34">
            <v>-9225.0165572147998</v>
          </cell>
          <cell r="O34">
            <v>-15246.029051305208</v>
          </cell>
          <cell r="P34">
            <v>734.72899084239998</v>
          </cell>
          <cell r="Q34">
            <v>-4242.5914908021596</v>
          </cell>
          <cell r="R34">
            <v>-12614.728786819098</v>
          </cell>
          <cell r="S34">
            <v>-17357.95677991975</v>
          </cell>
          <cell r="T34">
            <v>-3932.6203054835701</v>
          </cell>
          <cell r="U34">
            <v>-5670.1608844061302</v>
          </cell>
          <cell r="V34">
            <v>-13529.8837561168</v>
          </cell>
          <cell r="W34">
            <v>-20102.905734355969</v>
          </cell>
          <cell r="X34">
            <v>-2679.5270133238701</v>
          </cell>
          <cell r="Y34">
            <v>-5350.6306518502797</v>
          </cell>
          <cell r="Z34">
            <v>-15806.491254545101</v>
          </cell>
          <cell r="AA34">
            <v>-19293.288303502624</v>
          </cell>
          <cell r="AB34">
            <v>-4190.2256726464684</v>
          </cell>
          <cell r="AC34">
            <v>-5887.8918963674405</v>
          </cell>
          <cell r="AD34">
            <v>-13032.857268520402</v>
          </cell>
          <cell r="AE34">
            <v>-20746.021437283136</v>
          </cell>
          <cell r="AF34">
            <v>-4870.7432957956325</v>
          </cell>
          <cell r="AG34">
            <v>-7994.2701527924601</v>
          </cell>
          <cell r="AH34">
            <v>-18363.769666806897</v>
          </cell>
          <cell r="AI34">
            <v>-19760.489540054052</v>
          </cell>
          <cell r="AJ34">
            <v>-1076.8229381568481</v>
          </cell>
          <cell r="AK34">
            <v>-8103.5094982195596</v>
          </cell>
          <cell r="AL34">
            <v>-15424.581981486401</v>
          </cell>
          <cell r="AP34">
            <v>0</v>
          </cell>
          <cell r="AT34">
            <v>0</v>
          </cell>
          <cell r="AX34">
            <v>0</v>
          </cell>
          <cell r="AZ34">
            <v>-166572.52167855005</v>
          </cell>
          <cell r="BA34">
            <v>-72133.013935556577</v>
          </cell>
          <cell r="BB34">
            <v>-52203.018161090586</v>
          </cell>
          <cell r="BC34">
            <v>-117331.61273492005</v>
          </cell>
          <cell r="BE34">
            <v>-54065.830832129315</v>
          </cell>
          <cell r="BF34">
            <v>-56117.803700992597</v>
          </cell>
          <cell r="BG34">
            <v>-14953.96358665255</v>
          </cell>
          <cell r="BH34">
            <v>-28559.300020625356</v>
          </cell>
          <cell r="BI34">
            <v>-52706.891565580925</v>
          </cell>
          <cell r="BJ34">
            <v>-5877.4183279650397</v>
          </cell>
          <cell r="BK34">
            <v>-15263.383027058568</v>
          </cell>
          <cell r="BL34">
            <v>-41951.103797481002</v>
          </cell>
          <cell r="BM34">
            <v>-59799.799280839819</v>
          </cell>
          <cell r="BN34">
            <v>-10137.791906598948</v>
          </cell>
          <cell r="BO34">
            <v>-21985.671547379461</v>
          </cell>
          <cell r="BP34">
            <v>-46821.208916813703</v>
          </cell>
        </row>
        <row r="35">
          <cell r="D35">
            <v>-20356.6265872433</v>
          </cell>
          <cell r="E35">
            <v>-3900.5532476435401</v>
          </cell>
          <cell r="F35">
            <v>-8643.1992901833</v>
          </cell>
          <cell r="G35">
            <v>-20311.2230125192</v>
          </cell>
          <cell r="H35">
            <v>-23736.898996549902</v>
          </cell>
          <cell r="I35">
            <v>-3103.6760697852001</v>
          </cell>
          <cell r="J35">
            <v>-7984.7386132272604</v>
          </cell>
          <cell r="K35">
            <v>-12842.408477954401</v>
          </cell>
          <cell r="L35">
            <v>-7867.7455797296498</v>
          </cell>
          <cell r="M35">
            <v>-4268.9454285102702</v>
          </cell>
          <cell r="N35">
            <v>-7979.4132472147994</v>
          </cell>
          <cell r="O35">
            <v>-14761.2358178615</v>
          </cell>
          <cell r="P35">
            <v>2154.6892552828799</v>
          </cell>
          <cell r="Q35">
            <v>-2448.1055908021594</v>
          </cell>
          <cell r="R35">
            <v>-10979.105906819099</v>
          </cell>
          <cell r="S35">
            <v>-16199.712524974701</v>
          </cell>
          <cell r="T35">
            <v>-2088.3182748628201</v>
          </cell>
          <cell r="U35">
            <v>-4341.9408044061302</v>
          </cell>
          <cell r="V35">
            <v>-11741.136816116801</v>
          </cell>
          <cell r="W35">
            <v>-18784.2713021452</v>
          </cell>
          <cell r="X35">
            <v>-1402.3579707895999</v>
          </cell>
          <cell r="Y35">
            <v>-4123.1577218502798</v>
          </cell>
          <cell r="Z35">
            <v>-14217.1260145451</v>
          </cell>
          <cell r="AA35">
            <v>-18153.180699600616</v>
          </cell>
          <cell r="AB35">
            <v>-3402.6178769832004</v>
          </cell>
          <cell r="AC35">
            <v>-4364.2632263674404</v>
          </cell>
          <cell r="AD35">
            <v>-11536.130328520401</v>
          </cell>
          <cell r="AE35">
            <v>-19643.521286135598</v>
          </cell>
          <cell r="AF35">
            <v>-3916.7541431826999</v>
          </cell>
          <cell r="AG35">
            <v>-6733.4596627924602</v>
          </cell>
          <cell r="AH35">
            <v>-17138.307366806897</v>
          </cell>
          <cell r="AI35">
            <v>-18110.348029037101</v>
          </cell>
          <cell r="AJ35">
            <v>56.258230164652097</v>
          </cell>
          <cell r="AK35">
            <v>-6584.1609182195598</v>
          </cell>
          <cell r="AL35">
            <v>-14001.7759014864</v>
          </cell>
          <cell r="AP35">
            <v>0</v>
          </cell>
          <cell r="AT35">
            <v>0</v>
          </cell>
          <cell r="AX35">
            <v>0</v>
          </cell>
          <cell r="AZ35">
            <v>-155956.25350300732</v>
          </cell>
          <cell r="BA35">
            <v>-60560.371943893631</v>
          </cell>
          <cell r="BB35">
            <v>-39868.262670377044</v>
          </cell>
          <cell r="BC35">
            <v>-104220.93348492005</v>
          </cell>
          <cell r="BE35">
            <v>-50303.983843252601</v>
          </cell>
          <cell r="BF35">
            <v>-51961.271163522855</v>
          </cell>
          <cell r="BG35">
            <v>-11273.17474593901</v>
          </cell>
          <cell r="BH35">
            <v>-24607.351150625356</v>
          </cell>
          <cell r="BI35">
            <v>-49745.2196449814</v>
          </cell>
          <cell r="BJ35">
            <v>-1335.9869903695401</v>
          </cell>
          <cell r="BK35">
            <v>-10913.204117058569</v>
          </cell>
          <cell r="BL35">
            <v>-36937.368737481003</v>
          </cell>
          <cell r="BM35">
            <v>-55907.050014773318</v>
          </cell>
          <cell r="BN35">
            <v>-7263.1137900012482</v>
          </cell>
          <cell r="BO35">
            <v>-17681.883807379461</v>
          </cell>
          <cell r="BP35">
            <v>-42676.213596813701</v>
          </cell>
        </row>
        <row r="36">
          <cell r="D36">
            <v>-1660.09730539682</v>
          </cell>
          <cell r="E36">
            <v>-1212.4870700000001</v>
          </cell>
          <cell r="F36">
            <v>-1414.0516699999998</v>
          </cell>
          <cell r="G36">
            <v>-617.24262401474607</v>
          </cell>
          <cell r="H36">
            <v>-1238.2687675719401</v>
          </cell>
          <cell r="I36">
            <v>-1563.7329907135399</v>
          </cell>
          <cell r="J36">
            <v>-1292.2938899999999</v>
          </cell>
          <cell r="K36">
            <v>-1172.7969049661399</v>
          </cell>
          <cell r="L36">
            <v>-1258.1664645009801</v>
          </cell>
          <cell r="M36">
            <v>-904.56877999999892</v>
          </cell>
          <cell r="N36">
            <v>-1245.60331</v>
          </cell>
          <cell r="O36">
            <v>-484.79323344370897</v>
          </cell>
          <cell r="P36">
            <v>-1419.9602644404799</v>
          </cell>
          <cell r="Q36">
            <v>-1794.4858999999999</v>
          </cell>
          <cell r="R36">
            <v>-1635.6228799999999</v>
          </cell>
          <cell r="S36">
            <v>-1158.24425494505</v>
          </cell>
          <cell r="T36">
            <v>-1844.30203062075</v>
          </cell>
          <cell r="U36">
            <v>-1328.2200800000001</v>
          </cell>
          <cell r="V36">
            <v>-1788.74694</v>
          </cell>
          <cell r="W36">
            <v>-1318.63443221077</v>
          </cell>
          <cell r="X36">
            <v>-1277.1690425342701</v>
          </cell>
          <cell r="Y36">
            <v>-1227.4729299999999</v>
          </cell>
          <cell r="Z36">
            <v>-1589.3652400000001</v>
          </cell>
          <cell r="AA36">
            <v>-1140.1076039020099</v>
          </cell>
          <cell r="AB36">
            <v>-787.60779566326801</v>
          </cell>
          <cell r="AC36">
            <v>-1523.6286699999998</v>
          </cell>
          <cell r="AD36">
            <v>-1496.72694</v>
          </cell>
          <cell r="AE36">
            <v>-1102.50015114754</v>
          </cell>
          <cell r="AF36">
            <v>-953.98915261293291</v>
          </cell>
          <cell r="AG36">
            <v>-1260.8104900000001</v>
          </cell>
          <cell r="AH36">
            <v>-1225.4623000000001</v>
          </cell>
          <cell r="AI36">
            <v>-1650.1415110169501</v>
          </cell>
          <cell r="AJ36">
            <v>-1133.0811683215002</v>
          </cell>
          <cell r="AK36">
            <v>-1519.3485800000001</v>
          </cell>
          <cell r="AL36">
            <v>-1422.8060800000001</v>
          </cell>
          <cell r="AP36">
            <v>0</v>
          </cell>
          <cell r="AT36">
            <v>0</v>
          </cell>
          <cell r="AX36">
            <v>0</v>
          </cell>
          <cell r="AZ36">
            <v>-10616.268175542744</v>
          </cell>
          <cell r="BA36">
            <v>-11572.641991662942</v>
          </cell>
          <cell r="BB36">
            <v>-12334.755490713538</v>
          </cell>
          <cell r="BC36">
            <v>-13110.679249999999</v>
          </cell>
          <cell r="BE36">
            <v>-3761.8469888767158</v>
          </cell>
          <cell r="BF36">
            <v>-4156.5325374697404</v>
          </cell>
          <cell r="BG36">
            <v>-3680.7888407135388</v>
          </cell>
          <cell r="BH36">
            <v>-3951.9488699999997</v>
          </cell>
          <cell r="BI36">
            <v>-2961.6719205995287</v>
          </cell>
          <cell r="BJ36">
            <v>-4541.4313375954998</v>
          </cell>
          <cell r="BK36">
            <v>-4350.1789099999996</v>
          </cell>
          <cell r="BL36">
            <v>-5013.73506</v>
          </cell>
          <cell r="BM36">
            <v>-3892.7492660665002</v>
          </cell>
          <cell r="BN36">
            <v>-2874.6781165977009</v>
          </cell>
          <cell r="BO36">
            <v>-4303.7877399999998</v>
          </cell>
          <cell r="BP36">
            <v>-4144.99532</v>
          </cell>
        </row>
        <row r="37">
          <cell r="D37">
            <v>-130090.61267948018</v>
          </cell>
          <cell r="E37">
            <v>-101628.37465745785</v>
          </cell>
          <cell r="F37">
            <v>-101020.73380424135</v>
          </cell>
          <cell r="G37">
            <v>-76349.551965056846</v>
          </cell>
          <cell r="H37">
            <v>-128993.93685664404</v>
          </cell>
          <cell r="I37">
            <v>-97773.915922651679</v>
          </cell>
          <cell r="J37">
            <v>-95365.559002334747</v>
          </cell>
          <cell r="K37">
            <v>-186094.12285072159</v>
          </cell>
          <cell r="L37">
            <v>-124037.02042220473</v>
          </cell>
          <cell r="M37">
            <v>-93806.871192646446</v>
          </cell>
          <cell r="N37">
            <v>-95858.636514056067</v>
          </cell>
          <cell r="O37">
            <v>-114080.61108508278</v>
          </cell>
          <cell r="P37">
            <v>-100463.54680298913</v>
          </cell>
          <cell r="Q37">
            <v>-92097.535309159459</v>
          </cell>
          <cell r="R37">
            <v>-100437.44338352657</v>
          </cell>
          <cell r="S37">
            <v>-118816.55425828995</v>
          </cell>
          <cell r="T37">
            <v>-100259.99617769501</v>
          </cell>
          <cell r="U37">
            <v>-91225.865092338718</v>
          </cell>
          <cell r="V37">
            <v>-88304.594343253208</v>
          </cell>
          <cell r="W37">
            <v>-118831.58880256381</v>
          </cell>
          <cell r="X37">
            <v>-106108.37659877916</v>
          </cell>
          <cell r="Y37">
            <v>-85477.656393893674</v>
          </cell>
          <cell r="Z37">
            <v>-94717.07458248944</v>
          </cell>
          <cell r="AA37">
            <v>-133887.10888542215</v>
          </cell>
          <cell r="AB37">
            <v>-88751.244059173681</v>
          </cell>
          <cell r="AC37">
            <v>-89679.957015453969</v>
          </cell>
          <cell r="AD37">
            <v>-100895.06426935917</v>
          </cell>
          <cell r="AE37">
            <v>-122701.33305898074</v>
          </cell>
          <cell r="AF37">
            <v>-97978.084726706831</v>
          </cell>
          <cell r="AG37">
            <v>-91673.050747968708</v>
          </cell>
          <cell r="AH37">
            <v>-100031.83347856095</v>
          </cell>
          <cell r="AI37">
            <v>-119253.05533973196</v>
          </cell>
          <cell r="AJ37">
            <v>-113360.31486457599</v>
          </cell>
          <cell r="AK37">
            <v>-109501.7289297401</v>
          </cell>
          <cell r="AL37">
            <v>-102517.20297770339</v>
          </cell>
          <cell r="AP37">
            <v>0</v>
          </cell>
          <cell r="AT37">
            <v>0</v>
          </cell>
          <cell r="AX37">
            <v>0</v>
          </cell>
          <cell r="AZ37">
            <v>-1079214.4420731736</v>
          </cell>
          <cell r="BA37">
            <v>-990043.13318824873</v>
          </cell>
          <cell r="BB37">
            <v>-852864.95526131068</v>
          </cell>
          <cell r="BC37">
            <v>-879148.14235552493</v>
          </cell>
          <cell r="BE37">
            <v>-351644.19064310216</v>
          </cell>
          <cell r="BF37">
            <v>-383121.56995832897</v>
          </cell>
          <cell r="BG37">
            <v>-293209.16177275596</v>
          </cell>
          <cell r="BH37">
            <v>-292244.92932063213</v>
          </cell>
          <cell r="BI37">
            <v>-351728.75414593657</v>
          </cell>
          <cell r="BJ37">
            <v>-306831.91957946331</v>
          </cell>
          <cell r="BK37">
            <v>-268801.05679539184</v>
          </cell>
          <cell r="BL37">
            <v>-283459.1123092692</v>
          </cell>
          <cell r="BM37">
            <v>-375841.49728413485</v>
          </cell>
          <cell r="BN37">
            <v>-300089.64365045651</v>
          </cell>
          <cell r="BO37">
            <v>-290854.73669316276</v>
          </cell>
          <cell r="BP37">
            <v>-303444.10072562355</v>
          </cell>
        </row>
        <row r="38">
          <cell r="D38">
            <v>-109879.47034486699</v>
          </cell>
          <cell r="E38">
            <v>-54901.997077396925</v>
          </cell>
          <cell r="F38">
            <v>-81192.835103956008</v>
          </cell>
          <cell r="G38">
            <v>-104078.74063644164</v>
          </cell>
          <cell r="H38">
            <v>-103065.12489831247</v>
          </cell>
          <cell r="I38">
            <v>-58110.104929370376</v>
          </cell>
          <cell r="J38">
            <v>-79530.166933525223</v>
          </cell>
          <cell r="K38">
            <v>-112003.36446784048</v>
          </cell>
          <cell r="L38">
            <v>-72195.619813673868</v>
          </cell>
          <cell r="M38">
            <v>-53196.857235641713</v>
          </cell>
          <cell r="N38">
            <v>-63721.576910023745</v>
          </cell>
          <cell r="O38">
            <v>-102824.27676652258</v>
          </cell>
          <cell r="P38">
            <v>-42981.392766805358</v>
          </cell>
          <cell r="Q38">
            <v>-51405.928806933058</v>
          </cell>
          <cell r="R38">
            <v>-82771.390852911631</v>
          </cell>
          <cell r="S38">
            <v>-103439.96402195346</v>
          </cell>
          <cell r="T38">
            <v>-36123.93335898393</v>
          </cell>
          <cell r="U38">
            <v>-55487.486914239911</v>
          </cell>
          <cell r="V38">
            <v>-90222.43279720431</v>
          </cell>
          <cell r="W38">
            <v>-97139.926695334594</v>
          </cell>
          <cell r="X38">
            <v>-34472.081933264344</v>
          </cell>
          <cell r="Y38">
            <v>-60643.998642315149</v>
          </cell>
          <cell r="Z38">
            <v>-82436.511954850605</v>
          </cell>
          <cell r="AA38">
            <v>-114700.74955626932</v>
          </cell>
          <cell r="AB38">
            <v>-46475.39043569559</v>
          </cell>
          <cell r="AC38">
            <v>-67087.913497857749</v>
          </cell>
          <cell r="AD38">
            <v>-96038.311262673786</v>
          </cell>
          <cell r="AE38">
            <v>-96265.549453286701</v>
          </cell>
          <cell r="AF38">
            <v>-34820.773673919757</v>
          </cell>
          <cell r="AG38">
            <v>-61992.600460399757</v>
          </cell>
          <cell r="AH38">
            <v>-100832.51802683667</v>
          </cell>
          <cell r="AI38">
            <v>-99452.266637716471</v>
          </cell>
          <cell r="AJ38">
            <v>-46919.152614762352</v>
          </cell>
          <cell r="AK38">
            <v>-64817.500248812619</v>
          </cell>
          <cell r="AL38">
            <v>-95267.942352965183</v>
          </cell>
          <cell r="AP38">
            <v>0</v>
          </cell>
          <cell r="AT38">
            <v>0</v>
          </cell>
          <cell r="AX38">
            <v>0</v>
          </cell>
          <cell r="AZ38">
            <v>-936643.92215430317</v>
          </cell>
          <cell r="BA38">
            <v>-526932.93984028464</v>
          </cell>
          <cell r="BB38">
            <v>-527644.3878129673</v>
          </cell>
          <cell r="BC38">
            <v>-772013.68619494722</v>
          </cell>
          <cell r="BE38">
            <v>-322821.18902322004</v>
          </cell>
          <cell r="BF38">
            <v>-285140.21505685331</v>
          </cell>
          <cell r="BG38">
            <v>-166208.95924240904</v>
          </cell>
          <cell r="BH38">
            <v>-224444.57894750498</v>
          </cell>
          <cell r="BI38">
            <v>-303404.16748381068</v>
          </cell>
          <cell r="BJ38">
            <v>-113577.40805905362</v>
          </cell>
          <cell r="BK38">
            <v>-167537.41436348812</v>
          </cell>
          <cell r="BL38">
            <v>-255430.33560496653</v>
          </cell>
          <cell r="BM38">
            <v>-310418.56564727251</v>
          </cell>
          <cell r="BN38">
            <v>-128215.3167243777</v>
          </cell>
          <cell r="BO38">
            <v>-193898.01420707014</v>
          </cell>
          <cell r="BP38">
            <v>-292138.77164247562</v>
          </cell>
        </row>
        <row r="39">
          <cell r="D39">
            <v>-63010.649353578701</v>
          </cell>
          <cell r="E39">
            <v>-29063.909266442897</v>
          </cell>
          <cell r="F39">
            <v>-41158.812435976499</v>
          </cell>
          <cell r="G39">
            <v>-57537.897417415101</v>
          </cell>
          <cell r="H39">
            <v>-57541.058800143299</v>
          </cell>
          <cell r="I39">
            <v>-26838.495162105603</v>
          </cell>
          <cell r="J39">
            <v>-30206.695570020998</v>
          </cell>
          <cell r="K39">
            <v>-58182.511652617999</v>
          </cell>
          <cell r="L39">
            <v>-44691.242731399601</v>
          </cell>
          <cell r="M39">
            <v>-23027.470241458701</v>
          </cell>
          <cell r="N39">
            <v>-28620.4549668615</v>
          </cell>
          <cell r="O39">
            <v>-52712.060023127</v>
          </cell>
          <cell r="P39">
            <v>-14801.324594608501</v>
          </cell>
          <cell r="Q39">
            <v>-21986.859819982601</v>
          </cell>
          <cell r="R39">
            <v>-41186.954070397696</v>
          </cell>
          <cell r="S39">
            <v>-55670.403251180098</v>
          </cell>
          <cell r="T39">
            <v>-11822.4864756146</v>
          </cell>
          <cell r="U39">
            <v>-26760.9236825525</v>
          </cell>
          <cell r="V39">
            <v>-41165.694948992103</v>
          </cell>
          <cell r="W39">
            <v>-52739.008190507397</v>
          </cell>
          <cell r="X39">
            <v>-12742.465977416399</v>
          </cell>
          <cell r="Y39">
            <v>-24034.776551570601</v>
          </cell>
          <cell r="Z39">
            <v>-41485.060114337895</v>
          </cell>
          <cell r="AA39">
            <v>-61760.195296571997</v>
          </cell>
          <cell r="AB39">
            <v>-16784.714569697102</v>
          </cell>
          <cell r="AC39">
            <v>-32702.6740360681</v>
          </cell>
          <cell r="AD39">
            <v>-53510.467012764697</v>
          </cell>
          <cell r="AE39">
            <v>-54227.470616316103</v>
          </cell>
          <cell r="AF39">
            <v>-15667.2828939346</v>
          </cell>
          <cell r="AG39">
            <v>-30023.431584768798</v>
          </cell>
          <cell r="AH39">
            <v>-54304.650609884404</v>
          </cell>
          <cell r="AI39">
            <v>-49669.354987194594</v>
          </cell>
          <cell r="AJ39">
            <v>-17285.373234877301</v>
          </cell>
          <cell r="AK39">
            <v>-30455.498724057099</v>
          </cell>
          <cell r="AL39">
            <v>-46895.210826520102</v>
          </cell>
          <cell r="AP39">
            <v>0</v>
          </cell>
          <cell r="AT39">
            <v>0</v>
          </cell>
          <cell r="AX39">
            <v>0</v>
          </cell>
          <cell r="AZ39">
            <v>-504880.13794008916</v>
          </cell>
          <cell r="BA39">
            <v>-254346.59863127011</v>
          </cell>
          <cell r="BB39">
            <v>-244894.03906900692</v>
          </cell>
          <cell r="BC39">
            <v>-378534.00055575592</v>
          </cell>
          <cell r="BE39">
            <v>-178101.645575192</v>
          </cell>
          <cell r="BF39">
            <v>-165242.95088512159</v>
          </cell>
          <cell r="BG39">
            <v>-78929.874670007208</v>
          </cell>
          <cell r="BH39">
            <v>-99985.962972859008</v>
          </cell>
          <cell r="BI39">
            <v>-161121.4714648145</v>
          </cell>
          <cell r="BJ39">
            <v>-39366.277047639494</v>
          </cell>
          <cell r="BK39">
            <v>-72782.560054105707</v>
          </cell>
          <cell r="BL39">
            <v>-123837.70913372768</v>
          </cell>
          <cell r="BM39">
            <v>-165657.02090008269</v>
          </cell>
          <cell r="BN39">
            <v>-49737.370698509003</v>
          </cell>
          <cell r="BO39">
            <v>-93181.604344894004</v>
          </cell>
          <cell r="BP39">
            <v>-154710.3284491692</v>
          </cell>
        </row>
        <row r="40">
          <cell r="D40">
            <v>-37154.310481502784</v>
          </cell>
          <cell r="E40">
            <v>-19107.146688222281</v>
          </cell>
          <cell r="F40">
            <v>-34053.570834881604</v>
          </cell>
          <cell r="G40">
            <v>-38890.739574292988</v>
          </cell>
          <cell r="H40">
            <v>-36264.046526327525</v>
          </cell>
          <cell r="I40">
            <v>-23416.369818957293</v>
          </cell>
          <cell r="J40">
            <v>-41626.416862861799</v>
          </cell>
          <cell r="K40">
            <v>-42347.14530092795</v>
          </cell>
          <cell r="L40">
            <v>-22608.885174121919</v>
          </cell>
          <cell r="M40">
            <v>-23653.886651283243</v>
          </cell>
          <cell r="N40">
            <v>-28034.73924188425</v>
          </cell>
          <cell r="O40">
            <v>-41053.730958759334</v>
          </cell>
          <cell r="P40">
            <v>-19823.380998326622</v>
          </cell>
          <cell r="Q40">
            <v>-21558.740334878952</v>
          </cell>
          <cell r="R40">
            <v>-36061.199367110588</v>
          </cell>
          <cell r="S40">
            <v>-41068.272035227761</v>
          </cell>
          <cell r="T40">
            <v>-14646.93452810191</v>
          </cell>
          <cell r="U40">
            <v>-21945.18184217879</v>
          </cell>
          <cell r="V40">
            <v>-40356.393118827677</v>
          </cell>
          <cell r="W40">
            <v>-36800.195234200997</v>
          </cell>
          <cell r="X40">
            <v>-15217.260234447749</v>
          </cell>
          <cell r="Y40">
            <v>-29449.560280797421</v>
          </cell>
          <cell r="Z40">
            <v>-34111.386322887192</v>
          </cell>
          <cell r="AA40">
            <v>-47630.316395081762</v>
          </cell>
          <cell r="AB40">
            <v>-24161.112139599838</v>
          </cell>
          <cell r="AC40">
            <v>-25743.530719057442</v>
          </cell>
          <cell r="AD40">
            <v>-36561.776976182504</v>
          </cell>
          <cell r="AE40">
            <v>-35003.27010870145</v>
          </cell>
          <cell r="AF40">
            <v>-12946.838724223839</v>
          </cell>
          <cell r="AG40">
            <v>-23621.093152144542</v>
          </cell>
          <cell r="AH40">
            <v>-43846.037855521092</v>
          </cell>
          <cell r="AI40">
            <v>-41247.583150640843</v>
          </cell>
          <cell r="AJ40">
            <v>-23931.704196180181</v>
          </cell>
          <cell r="AK40">
            <v>-26727.725887939105</v>
          </cell>
          <cell r="AL40">
            <v>-46745.47364355468</v>
          </cell>
          <cell r="AP40">
            <v>0</v>
          </cell>
          <cell r="AT40">
            <v>0</v>
          </cell>
          <cell r="AX40">
            <v>0</v>
          </cell>
          <cell r="AZ40">
            <v>-358985.39668306289</v>
          </cell>
          <cell r="BA40">
            <v>-206754.47300283238</v>
          </cell>
          <cell r="BB40">
            <v>-215223.23537545907</v>
          </cell>
          <cell r="BC40">
            <v>-341396.99422371137</v>
          </cell>
          <cell r="BE40">
            <v>-116182.02880045075</v>
          </cell>
          <cell r="BF40">
            <v>-96027.242181952228</v>
          </cell>
          <cell r="BG40">
            <v>-66177.403158462825</v>
          </cell>
          <cell r="BH40">
            <v>-103714.72693962765</v>
          </cell>
          <cell r="BI40">
            <v>-118922.19822818809</v>
          </cell>
          <cell r="BJ40">
            <v>-49687.57576087628</v>
          </cell>
          <cell r="BK40">
            <v>-72953.482457855163</v>
          </cell>
          <cell r="BL40">
            <v>-110528.97880882546</v>
          </cell>
          <cell r="BM40">
            <v>-123881.16965442405</v>
          </cell>
          <cell r="BN40">
            <v>-61039.655060003854</v>
          </cell>
          <cell r="BO40">
            <v>-76092.349759141085</v>
          </cell>
          <cell r="BP40">
            <v>-127153.28847525828</v>
          </cell>
        </row>
        <row r="41">
          <cell r="D41">
            <v>-1904.20489804621</v>
          </cell>
          <cell r="E41">
            <v>-1718.84999140589</v>
          </cell>
          <cell r="F41">
            <v>-2016.0193290494999</v>
          </cell>
          <cell r="G41">
            <v>-2137.4052244372097</v>
          </cell>
          <cell r="H41">
            <v>-1811.6328047296399</v>
          </cell>
          <cell r="I41">
            <v>-1647.57357897624</v>
          </cell>
          <cell r="J41">
            <v>-2049.5892619604897</v>
          </cell>
          <cell r="K41">
            <v>-2409.18552565651</v>
          </cell>
          <cell r="L41">
            <v>-1676.5374746270102</v>
          </cell>
          <cell r="M41">
            <v>-1634.70100452878</v>
          </cell>
          <cell r="N41">
            <v>-2116.4066528072599</v>
          </cell>
          <cell r="O41">
            <v>-1587.5735811556501</v>
          </cell>
          <cell r="P41">
            <v>-2145.1853355448698</v>
          </cell>
          <cell r="Q41">
            <v>-2162.6653644451098</v>
          </cell>
          <cell r="R41">
            <v>-1170.8214754033802</v>
          </cell>
          <cell r="S41">
            <v>-1576.9868235055599</v>
          </cell>
          <cell r="T41">
            <v>-1718.27098385713</v>
          </cell>
          <cell r="U41">
            <v>-1325.7069349067801</v>
          </cell>
          <cell r="V41">
            <v>-1937.5407013796801</v>
          </cell>
          <cell r="W41">
            <v>-2073.8414239490999</v>
          </cell>
          <cell r="X41">
            <v>-1590.6821221355099</v>
          </cell>
          <cell r="Y41">
            <v>-2702.5683393190202</v>
          </cell>
          <cell r="Z41">
            <v>-1834.3790476254599</v>
          </cell>
          <cell r="AA41">
            <v>-2193.7147311457802</v>
          </cell>
          <cell r="AB41">
            <v>-1582.0495009163599</v>
          </cell>
          <cell r="AC41">
            <v>-2229.9970338724497</v>
          </cell>
          <cell r="AD41">
            <v>-2089.2327637265798</v>
          </cell>
          <cell r="AE41">
            <v>-1897.08200067082</v>
          </cell>
          <cell r="AF41">
            <v>-1560.8529194084999</v>
          </cell>
          <cell r="AG41">
            <v>-1409.2221363804401</v>
          </cell>
          <cell r="AH41">
            <v>-2088.11454143117</v>
          </cell>
          <cell r="AI41">
            <v>-2076.2204507864999</v>
          </cell>
          <cell r="AJ41">
            <v>-1202.22736658129</v>
          </cell>
          <cell r="AK41">
            <v>-2004.16461341728</v>
          </cell>
          <cell r="AL41">
            <v>764.06456710959208</v>
          </cell>
          <cell r="AP41">
            <v>0</v>
          </cell>
          <cell r="AT41">
            <v>0</v>
          </cell>
          <cell r="AX41">
            <v>0</v>
          </cell>
          <cell r="AZ41">
            <v>-18161.048079852568</v>
          </cell>
          <cell r="BA41">
            <v>-15191.64340584652</v>
          </cell>
          <cell r="BB41">
            <v>-16835.448997251988</v>
          </cell>
          <cell r="BC41">
            <v>-14538.039206273928</v>
          </cell>
          <cell r="BE41">
            <v>-6755.6290686391603</v>
          </cell>
          <cell r="BF41">
            <v>-5392.3751774028597</v>
          </cell>
          <cell r="BG41">
            <v>-5001.1245749109103</v>
          </cell>
          <cell r="BH41">
            <v>-6182.0152438172499</v>
          </cell>
          <cell r="BI41">
            <v>-5238.4018286103092</v>
          </cell>
          <cell r="BJ41">
            <v>-5454.1384415375096</v>
          </cell>
          <cell r="BK41">
            <v>-6190.9406386709106</v>
          </cell>
          <cell r="BL41">
            <v>-4942.7412244085199</v>
          </cell>
          <cell r="BM41">
            <v>-6167.0171826031001</v>
          </cell>
          <cell r="BN41">
            <v>-4345.12978690615</v>
          </cell>
          <cell r="BO41">
            <v>-5643.3837836701696</v>
          </cell>
          <cell r="BP41">
            <v>-3413.2827380481572</v>
          </cell>
        </row>
        <row r="42">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P42">
            <v>0</v>
          </cell>
          <cell r="AT42">
            <v>0</v>
          </cell>
          <cell r="AX42">
            <v>0</v>
          </cell>
          <cell r="AZ42">
            <v>0</v>
          </cell>
          <cell r="BA42">
            <v>0</v>
          </cell>
          <cell r="BB42">
            <v>0</v>
          </cell>
          <cell r="BC42">
            <v>0</v>
          </cell>
          <cell r="BE42">
            <v>0</v>
          </cell>
          <cell r="BF42">
            <v>0</v>
          </cell>
          <cell r="BG42">
            <v>0</v>
          </cell>
          <cell r="BH42">
            <v>0</v>
          </cell>
          <cell r="BI42">
            <v>0</v>
          </cell>
          <cell r="BJ42">
            <v>0</v>
          </cell>
          <cell r="BK42">
            <v>0</v>
          </cell>
          <cell r="BL42">
            <v>0</v>
          </cell>
          <cell r="BM42">
            <v>0</v>
          </cell>
          <cell r="BN42">
            <v>0</v>
          </cell>
          <cell r="BO42">
            <v>0</v>
          </cell>
          <cell r="BP42">
            <v>0</v>
          </cell>
        </row>
        <row r="43">
          <cell r="D43">
            <v>-7810.3056117393025</v>
          </cell>
          <cell r="E43">
            <v>-5012.0911313258548</v>
          </cell>
          <cell r="F43">
            <v>-3964.43250404841</v>
          </cell>
          <cell r="G43">
            <v>-5512.6984202963404</v>
          </cell>
          <cell r="H43">
            <v>-7448.3867671119888</v>
          </cell>
          <cell r="I43">
            <v>-6207.6663693312357</v>
          </cell>
          <cell r="J43">
            <v>-5647.4652386819425</v>
          </cell>
          <cell r="K43">
            <v>-9064.5219886380182</v>
          </cell>
          <cell r="L43">
            <v>-3218.9544335253404</v>
          </cell>
          <cell r="M43">
            <v>-4880.7993383709936</v>
          </cell>
          <cell r="N43">
            <v>-4949.9760484707367</v>
          </cell>
          <cell r="O43">
            <v>-7470.9122034806014</v>
          </cell>
          <cell r="P43">
            <v>-6211.50183832537</v>
          </cell>
          <cell r="Q43">
            <v>-5697.6632876263993</v>
          </cell>
          <cell r="R43">
            <v>-4352.4159399999608</v>
          </cell>
          <cell r="S43">
            <v>-5124.3019120400386</v>
          </cell>
          <cell r="T43">
            <v>-7936.2413714102859</v>
          </cell>
          <cell r="U43">
            <v>-5455.6744546018399</v>
          </cell>
          <cell r="V43">
            <v>-6762.8040280048626</v>
          </cell>
          <cell r="W43">
            <v>-5526.8818466771081</v>
          </cell>
          <cell r="X43">
            <v>-4921.6735992646891</v>
          </cell>
          <cell r="Y43">
            <v>-4457.0934706281105</v>
          </cell>
          <cell r="Z43">
            <v>-5005.6864700000415</v>
          </cell>
          <cell r="AA43">
            <v>-3116.5231334697964</v>
          </cell>
          <cell r="AB43">
            <v>-3947.5142254822931</v>
          </cell>
          <cell r="AC43">
            <v>-6411.7117088597588</v>
          </cell>
          <cell r="AD43">
            <v>-3876.8345099999983</v>
          </cell>
          <cell r="AE43">
            <v>-5137.7267275983231</v>
          </cell>
          <cell r="AF43">
            <v>-4645.7991363528199</v>
          </cell>
          <cell r="AG43">
            <v>-6938.8535871059739</v>
          </cell>
          <cell r="AH43">
            <v>-593.71501999999953</v>
          </cell>
          <cell r="AI43">
            <v>-6459.108049094526</v>
          </cell>
          <cell r="AJ43">
            <v>-4499.8478171235802</v>
          </cell>
          <cell r="AK43">
            <v>-5630.1110233991321</v>
          </cell>
          <cell r="AL43">
            <v>-2391.322450000001</v>
          </cell>
          <cell r="AP43">
            <v>0</v>
          </cell>
          <cell r="AT43">
            <v>0</v>
          </cell>
          <cell r="AX43">
            <v>0</v>
          </cell>
          <cell r="AZ43">
            <v>-54617.339451298518</v>
          </cell>
          <cell r="BA43">
            <v>-50640.224800335665</v>
          </cell>
          <cell r="BB43">
            <v>-50691.664371249302</v>
          </cell>
          <cell r="BC43">
            <v>-37544.652209205946</v>
          </cell>
          <cell r="BE43">
            <v>-21781.885578938127</v>
          </cell>
          <cell r="BF43">
            <v>-18477.646812376632</v>
          </cell>
          <cell r="BG43">
            <v>-16100.556839028086</v>
          </cell>
          <cell r="BH43">
            <v>-14561.873791201089</v>
          </cell>
          <cell r="BI43">
            <v>-18122.095962197749</v>
          </cell>
          <cell r="BJ43">
            <v>-19069.416809000344</v>
          </cell>
          <cell r="BK43">
            <v>-15610.431212856351</v>
          </cell>
          <cell r="BL43">
            <v>-16120.906438004866</v>
          </cell>
          <cell r="BM43">
            <v>-14713.357910162646</v>
          </cell>
          <cell r="BN43">
            <v>-13093.161178958693</v>
          </cell>
          <cell r="BO43">
            <v>-18980.676319364866</v>
          </cell>
          <cell r="BP43">
            <v>-6861.8719799999981</v>
          </cell>
        </row>
        <row r="44">
          <cell r="D44">
            <v>-21566.654803134708</v>
          </cell>
          <cell r="E44">
            <v>-7488.6233968399802</v>
          </cell>
          <cell r="F44">
            <v>-6819.7168166127758</v>
          </cell>
          <cell r="G44">
            <v>-23723.690550346451</v>
          </cell>
          <cell r="H44">
            <v>-21075.881198145282</v>
          </cell>
          <cell r="I44">
            <v>-2928.6817797883928</v>
          </cell>
          <cell r="J44">
            <v>-13661.305307205188</v>
          </cell>
          <cell r="K44">
            <v>-23430.485730831333</v>
          </cell>
          <cell r="L44">
            <v>-7883.3242232496596</v>
          </cell>
          <cell r="M44">
            <v>-5372.6327735791219</v>
          </cell>
          <cell r="N44">
            <v>-12873.380833604246</v>
          </cell>
          <cell r="O44">
            <v>-22682.500521420781</v>
          </cell>
          <cell r="P44">
            <v>-6257.5531573224753</v>
          </cell>
          <cell r="Q44">
            <v>-4403.6458081863602</v>
          </cell>
          <cell r="R44">
            <v>-12091.197695312218</v>
          </cell>
          <cell r="S44">
            <v>-19399.676068042561</v>
          </cell>
          <cell r="T44">
            <v>-4258.7918870793692</v>
          </cell>
          <cell r="U44">
            <v>-5229.3999391015041</v>
          </cell>
          <cell r="V44">
            <v>-13992.298266482212</v>
          </cell>
          <cell r="W44">
            <v>-22246.732432001947</v>
          </cell>
          <cell r="X44">
            <v>-7489.347727590316</v>
          </cell>
          <cell r="Y44">
            <v>-5896.3004784541963</v>
          </cell>
          <cell r="Z44">
            <v>-10873.17951820485</v>
          </cell>
          <cell r="AA44">
            <v>-22681.713971182082</v>
          </cell>
          <cell r="AB44">
            <v>-5002.4999623167678</v>
          </cell>
          <cell r="AC44">
            <v>-4067.46888307877</v>
          </cell>
          <cell r="AD44">
            <v>-17191.884692064552</v>
          </cell>
          <cell r="AE44">
            <v>-20010.52420976642</v>
          </cell>
          <cell r="AF44">
            <v>-8797.8387331013109</v>
          </cell>
          <cell r="AG44">
            <v>-7180.6953168067594</v>
          </cell>
          <cell r="AH44">
            <v>-17187.03499605356</v>
          </cell>
          <cell r="AI44">
            <v>-20042.252800384002</v>
          </cell>
          <cell r="AJ44">
            <v>1235.827459562046</v>
          </cell>
          <cell r="AK44">
            <v>-5935.5997790617166</v>
          </cell>
          <cell r="AL44">
            <v>-14121.109829906809</v>
          </cell>
          <cell r="AP44">
            <v>0</v>
          </cell>
          <cell r="AT44">
            <v>0</v>
          </cell>
          <cell r="AX44">
            <v>0</v>
          </cell>
          <cell r="AZ44">
            <v>-191309.49853368505</v>
          </cell>
          <cell r="BA44">
            <v>-81096.06423237783</v>
          </cell>
          <cell r="BB44">
            <v>-48503.048154896802</v>
          </cell>
          <cell r="BC44">
            <v>-118811.10795544641</v>
          </cell>
          <cell r="BE44">
            <v>-64246.098530887277</v>
          </cell>
          <cell r="BF44">
            <v>-50525.860224529642</v>
          </cell>
          <cell r="BG44">
            <v>-15789.937950207495</v>
          </cell>
          <cell r="BH44">
            <v>-33354.402957422208</v>
          </cell>
          <cell r="BI44">
            <v>-64328.909021465282</v>
          </cell>
          <cell r="BJ44">
            <v>-18005.692771992159</v>
          </cell>
          <cell r="BK44">
            <v>-15529.346225742062</v>
          </cell>
          <cell r="BL44">
            <v>-36956.675479999285</v>
          </cell>
          <cell r="BM44">
            <v>-62734.490981332499</v>
          </cell>
          <cell r="BN44">
            <v>-12564.511235856033</v>
          </cell>
          <cell r="BO44">
            <v>-17183.763978947245</v>
          </cell>
          <cell r="BP44">
            <v>-48500.029518024916</v>
          </cell>
        </row>
        <row r="45">
          <cell r="D45">
            <v>-17942.959709792638</v>
          </cell>
          <cell r="E45">
            <v>-6247.55381512849</v>
          </cell>
          <cell r="F45">
            <v>-5210.8238468498757</v>
          </cell>
          <cell r="G45">
            <v>-17987.874139729181</v>
          </cell>
          <cell r="H45">
            <v>-17338.694929372254</v>
          </cell>
          <cell r="I45">
            <v>-1996.0171325884889</v>
          </cell>
          <cell r="J45">
            <v>-11309.436062621458</v>
          </cell>
          <cell r="K45">
            <v>-17646.294543736232</v>
          </cell>
          <cell r="L45">
            <v>-5496.2168805550791</v>
          </cell>
          <cell r="M45">
            <v>-4496.6179597895398</v>
          </cell>
          <cell r="N45">
            <v>-9355.7029047519754</v>
          </cell>
          <cell r="O45">
            <v>-17622.351733306961</v>
          </cell>
          <cell r="P45">
            <v>-5055.2494083796455</v>
          </cell>
          <cell r="Q45">
            <v>-3590.5259948337903</v>
          </cell>
          <cell r="R45">
            <v>-10113.711004973258</v>
          </cell>
          <cell r="S45">
            <v>-14687.516115206601</v>
          </cell>
          <cell r="T45">
            <v>-3101.9882374997992</v>
          </cell>
          <cell r="U45">
            <v>-4659.3180682089051</v>
          </cell>
          <cell r="V45">
            <v>-11619.303361053393</v>
          </cell>
          <cell r="W45">
            <v>-18803.294742209288</v>
          </cell>
          <cell r="X45">
            <v>-5789.1384395488558</v>
          </cell>
          <cell r="Y45">
            <v>-5288.9074329184323</v>
          </cell>
          <cell r="Z45">
            <v>-8571.3111146152896</v>
          </cell>
          <cell r="AA45">
            <v>-18968.845356462371</v>
          </cell>
          <cell r="AB45">
            <v>-3205.1401202541683</v>
          </cell>
          <cell r="AC45">
            <v>-3367.7528852515347</v>
          </cell>
          <cell r="AD45">
            <v>-14775.0165601113</v>
          </cell>
          <cell r="AE45">
            <v>-16764.373765978959</v>
          </cell>
          <cell r="AF45">
            <v>-3324.6095271341401</v>
          </cell>
          <cell r="AG45">
            <v>-6561.4666468712867</v>
          </cell>
          <cell r="AH45">
            <v>-14396.67441095878</v>
          </cell>
          <cell r="AI45">
            <v>-17275.808076262103</v>
          </cell>
          <cell r="AJ45">
            <v>-2553.4304430424841</v>
          </cell>
          <cell r="AK45">
            <v>-5303.3496661045201</v>
          </cell>
          <cell r="AL45">
            <v>-11706.682580896109</v>
          </cell>
          <cell r="AP45">
            <v>0</v>
          </cell>
          <cell r="AT45">
            <v>0</v>
          </cell>
          <cell r="AX45">
            <v>0</v>
          </cell>
          <cell r="AZ45">
            <v>-151841.20924264309</v>
          </cell>
          <cell r="BA45">
            <v>-63807.427695579056</v>
          </cell>
          <cell r="BB45">
            <v>-41511.50960169499</v>
          </cell>
          <cell r="BC45">
            <v>-97058.661846831441</v>
          </cell>
          <cell r="BE45">
            <v>-47719.019453216817</v>
          </cell>
          <cell r="BF45">
            <v>-40777.871519719964</v>
          </cell>
          <cell r="BG45">
            <v>-12740.188907506519</v>
          </cell>
          <cell r="BH45">
            <v>-25875.962814223309</v>
          </cell>
          <cell r="BI45">
            <v>-51113.162590722844</v>
          </cell>
          <cell r="BJ45">
            <v>-13946.376085428299</v>
          </cell>
          <cell r="BK45">
            <v>-13538.751495961129</v>
          </cell>
          <cell r="BL45">
            <v>-30304.325480641943</v>
          </cell>
          <cell r="BM45">
            <v>-53009.027198703428</v>
          </cell>
          <cell r="BN45">
            <v>-9083.1800904307929</v>
          </cell>
          <cell r="BO45">
            <v>-15232.569198227342</v>
          </cell>
          <cell r="BP45">
            <v>-40878.373551966186</v>
          </cell>
        </row>
        <row r="46">
          <cell r="D46">
            <v>-3623.6950933420699</v>
          </cell>
          <cell r="E46">
            <v>-1241.0695817114899</v>
          </cell>
          <cell r="F46">
            <v>-1608.8929697628998</v>
          </cell>
          <cell r="G46">
            <v>-5735.8164106172699</v>
          </cell>
          <cell r="H46">
            <v>-3737.18626877303</v>
          </cell>
          <cell r="I46">
            <v>-932.66464719990392</v>
          </cell>
          <cell r="J46">
            <v>-2351.8692445837301</v>
          </cell>
          <cell r="K46">
            <v>-5784.1911870950998</v>
          </cell>
          <cell r="L46">
            <v>-2387.10734269458</v>
          </cell>
          <cell r="M46">
            <v>-876.01481378958204</v>
          </cell>
          <cell r="N46">
            <v>-3517.6779288522698</v>
          </cell>
          <cell r="O46">
            <v>-5060.14878811382</v>
          </cell>
          <cell r="P46">
            <v>-1202.30374894283</v>
          </cell>
          <cell r="Q46">
            <v>-813.11981335257008</v>
          </cell>
          <cell r="R46">
            <v>-1977.48669033896</v>
          </cell>
          <cell r="S46">
            <v>-4712.1599528359602</v>
          </cell>
          <cell r="T46">
            <v>-1156.80364957957</v>
          </cell>
          <cell r="U46">
            <v>-570.081870892599</v>
          </cell>
          <cell r="V46">
            <v>-2372.9949054288199</v>
          </cell>
          <cell r="W46">
            <v>-3443.43768979266</v>
          </cell>
          <cell r="X46">
            <v>-1700.20928804146</v>
          </cell>
          <cell r="Y46">
            <v>-607.39304553576392</v>
          </cell>
          <cell r="Z46">
            <v>-2301.8684035895603</v>
          </cell>
          <cell r="AA46">
            <v>-3712.86861471971</v>
          </cell>
          <cell r="AB46">
            <v>-1797.3598420625999</v>
          </cell>
          <cell r="AC46">
            <v>-699.71599782723501</v>
          </cell>
          <cell r="AD46">
            <v>-2416.8681319532502</v>
          </cell>
          <cell r="AE46">
            <v>-3246.1504437874601</v>
          </cell>
          <cell r="AF46">
            <v>-5473.2292059671699</v>
          </cell>
          <cell r="AG46">
            <v>-619.22866993547302</v>
          </cell>
          <cell r="AH46">
            <v>-2790.3605850947802</v>
          </cell>
          <cell r="AI46">
            <v>-2766.4447241219</v>
          </cell>
          <cell r="AJ46">
            <v>3789.25790260453</v>
          </cell>
          <cell r="AK46">
            <v>-632.25011295719696</v>
          </cell>
          <cell r="AL46">
            <v>-2414.4272490106996</v>
          </cell>
          <cell r="AP46">
            <v>0</v>
          </cell>
          <cell r="AT46">
            <v>0</v>
          </cell>
          <cell r="AX46">
            <v>0</v>
          </cell>
          <cell r="AZ46">
            <v>-39468.289291041976</v>
          </cell>
          <cell r="BA46">
            <v>-17288.636536798778</v>
          </cell>
          <cell r="BB46">
            <v>-6991.5385532018136</v>
          </cell>
          <cell r="BC46">
            <v>-21752.446108614968</v>
          </cell>
          <cell r="BE46">
            <v>-16527.07907767046</v>
          </cell>
          <cell r="BF46">
            <v>-9747.9887048096807</v>
          </cell>
          <cell r="BG46">
            <v>-3049.7490427009761</v>
          </cell>
          <cell r="BH46">
            <v>-7478.440143198899</v>
          </cell>
          <cell r="BI46">
            <v>-13215.74643074244</v>
          </cell>
          <cell r="BJ46">
            <v>-4059.3166865638605</v>
          </cell>
          <cell r="BK46">
            <v>-1990.594729780933</v>
          </cell>
          <cell r="BL46">
            <v>-6652.3499993573405</v>
          </cell>
          <cell r="BM46">
            <v>-9725.4637826290709</v>
          </cell>
          <cell r="BN46">
            <v>-3481.3311454252394</v>
          </cell>
          <cell r="BO46">
            <v>-1951.1947807199049</v>
          </cell>
          <cell r="BP46">
            <v>-7621.65596605873</v>
          </cell>
        </row>
        <row r="47">
          <cell r="D47">
            <v>0</v>
          </cell>
          <cell r="E47">
            <v>0</v>
          </cell>
          <cell r="F47">
            <v>-25271.129761370437</v>
          </cell>
          <cell r="G47">
            <v>-43455.309041511602</v>
          </cell>
          <cell r="H47">
            <v>0</v>
          </cell>
          <cell r="I47">
            <v>0</v>
          </cell>
          <cell r="J47">
            <v>-21748.50358909756</v>
          </cell>
          <cell r="K47">
            <v>87938.350649692002</v>
          </cell>
          <cell r="L47">
            <v>0</v>
          </cell>
          <cell r="M47">
            <v>0</v>
          </cell>
          <cell r="N47">
            <v>-22587.900291457212</v>
          </cell>
          <cell r="O47">
            <v>0</v>
          </cell>
          <cell r="P47">
            <v>0</v>
          </cell>
          <cell r="Q47">
            <v>0</v>
          </cell>
          <cell r="R47">
            <v>-22985.891890113231</v>
          </cell>
          <cell r="S47">
            <v>0</v>
          </cell>
          <cell r="T47">
            <v>0</v>
          </cell>
          <cell r="U47">
            <v>-6805.8028899999999</v>
          </cell>
          <cell r="V47">
            <v>-25650.053319840346</v>
          </cell>
          <cell r="W47">
            <v>0</v>
          </cell>
          <cell r="X47">
            <v>0</v>
          </cell>
          <cell r="Y47">
            <v>-8239.2172895650001</v>
          </cell>
          <cell r="Z47">
            <v>-25040.085089366166</v>
          </cell>
          <cell r="AA47">
            <v>0</v>
          </cell>
          <cell r="AB47">
            <v>0</v>
          </cell>
          <cell r="AC47">
            <v>-12874.052990240551</v>
          </cell>
          <cell r="AD47">
            <v>-12380.86075</v>
          </cell>
          <cell r="AE47">
            <v>0</v>
          </cell>
          <cell r="AF47">
            <v>0</v>
          </cell>
          <cell r="AG47">
            <v>-13945.716620092935</v>
          </cell>
          <cell r="AH47">
            <v>-10323.896980000001</v>
          </cell>
          <cell r="AI47">
            <v>0</v>
          </cell>
          <cell r="AJ47">
            <v>0</v>
          </cell>
          <cell r="AK47">
            <v>-16645.640987762254</v>
          </cell>
          <cell r="AL47">
            <v>-10148.11311</v>
          </cell>
          <cell r="AP47">
            <v>0</v>
          </cell>
          <cell r="AT47">
            <v>0</v>
          </cell>
          <cell r="AX47">
            <v>0</v>
          </cell>
          <cell r="AZ47">
            <v>0</v>
          </cell>
          <cell r="BA47">
            <v>0</v>
          </cell>
          <cell r="BB47">
            <v>-58510.430777660731</v>
          </cell>
          <cell r="BC47">
            <v>-176136.43478124493</v>
          </cell>
          <cell r="BE47">
            <v>0</v>
          </cell>
          <cell r="BF47">
            <v>0</v>
          </cell>
          <cell r="BG47">
            <v>0</v>
          </cell>
          <cell r="BH47">
            <v>-69607.533641925198</v>
          </cell>
          <cell r="BI47">
            <v>0</v>
          </cell>
          <cell r="BJ47">
            <v>0</v>
          </cell>
          <cell r="BK47">
            <v>-15045.020179564999</v>
          </cell>
          <cell r="BL47">
            <v>-73676.03029931974</v>
          </cell>
          <cell r="BM47">
            <v>0</v>
          </cell>
          <cell r="BN47">
            <v>0</v>
          </cell>
          <cell r="BO47">
            <v>-43465.410598095739</v>
          </cell>
          <cell r="BP47">
            <v>-32852.870840000003</v>
          </cell>
        </row>
        <row r="48">
          <cell r="D48">
            <v>-42480.536915036806</v>
          </cell>
          <cell r="E48">
            <v>-33454.742691693173</v>
          </cell>
          <cell r="F48">
            <v>-53095.746021619903</v>
          </cell>
          <cell r="G48">
            <v>-35627.735646640736</v>
          </cell>
          <cell r="H48">
            <v>-38149.79667711712</v>
          </cell>
          <cell r="I48">
            <v>-31157.044445157302</v>
          </cell>
          <cell r="J48">
            <v>-46620.350521018678</v>
          </cell>
          <cell r="K48">
            <v>-34148.630977676163</v>
          </cell>
          <cell r="L48">
            <v>-13264.362148394339</v>
          </cell>
          <cell r="M48">
            <v>-37842.762217095988</v>
          </cell>
          <cell r="N48">
            <v>-55828.028812544522</v>
          </cell>
          <cell r="O48">
            <v>-42822.812482681344</v>
          </cell>
          <cell r="P48">
            <v>-30410.172694545279</v>
          </cell>
          <cell r="Q48">
            <v>-16934.959275707399</v>
          </cell>
          <cell r="R48">
            <v>-58872.013342015103</v>
          </cell>
          <cell r="S48">
            <v>-35128.873123502679</v>
          </cell>
          <cell r="T48">
            <v>-29966.85901903149</v>
          </cell>
          <cell r="U48">
            <v>-26755.743707077931</v>
          </cell>
          <cell r="V48">
            <v>-40446.77984439081</v>
          </cell>
          <cell r="W48">
            <v>-30003.226287807556</v>
          </cell>
          <cell r="X48">
            <v>-79546.633407076355</v>
          </cell>
          <cell r="Y48">
            <v>-59540.462511547186</v>
          </cell>
          <cell r="Z48">
            <v>-45421.949714872229</v>
          </cell>
          <cell r="AA48">
            <v>-36001.079402966941</v>
          </cell>
          <cell r="AB48">
            <v>-16584.41114468866</v>
          </cell>
          <cell r="AC48">
            <v>-82781.122375794468</v>
          </cell>
          <cell r="AD48">
            <v>-40990.112652133983</v>
          </cell>
          <cell r="AE48">
            <v>-37618.279747191402</v>
          </cell>
          <cell r="AF48">
            <v>-17800.677860270982</v>
          </cell>
          <cell r="AG48">
            <v>-80814.441765180702</v>
          </cell>
          <cell r="AH48">
            <v>-46358.986570920773</v>
          </cell>
          <cell r="AI48">
            <v>-30931.667070949352</v>
          </cell>
          <cell r="AJ48">
            <v>-33911.892357195728</v>
          </cell>
          <cell r="AK48">
            <v>-42723.162743870031</v>
          </cell>
          <cell r="AL48">
            <v>-51161.967789771508</v>
          </cell>
          <cell r="AP48">
            <v>0</v>
          </cell>
          <cell r="AT48">
            <v>0</v>
          </cell>
          <cell r="AX48">
            <v>0</v>
          </cell>
          <cell r="AZ48">
            <v>-316561.61710698798</v>
          </cell>
          <cell r="BA48">
            <v>-302115.34222335677</v>
          </cell>
          <cell r="BB48">
            <v>-412004.4417331242</v>
          </cell>
          <cell r="BC48">
            <v>-438795.9352692875</v>
          </cell>
          <cell r="BE48">
            <v>-104055.67899188871</v>
          </cell>
          <cell r="BF48">
            <v>-93894.695740548268</v>
          </cell>
          <cell r="BG48">
            <v>-102454.54935394647</v>
          </cell>
          <cell r="BH48">
            <v>-155544.12535518309</v>
          </cell>
          <cell r="BI48">
            <v>-107954.91189399158</v>
          </cell>
          <cell r="BJ48">
            <v>-139923.66512065311</v>
          </cell>
          <cell r="BK48">
            <v>-103231.16549433251</v>
          </cell>
          <cell r="BL48">
            <v>-144740.74290127814</v>
          </cell>
          <cell r="BM48">
            <v>-104551.02622110769</v>
          </cell>
          <cell r="BN48">
            <v>-68296.981362155377</v>
          </cell>
          <cell r="BO48">
            <v>-206318.72688484521</v>
          </cell>
          <cell r="BP48">
            <v>-138511.06701282627</v>
          </cell>
        </row>
        <row r="49">
          <cell r="D49">
            <v>-36151.060614014204</v>
          </cell>
          <cell r="E49">
            <v>-30576.250080239002</v>
          </cell>
          <cell r="F49">
            <v>-48256.629375983401</v>
          </cell>
          <cell r="G49">
            <v>-30275.2644942755</v>
          </cell>
          <cell r="H49">
            <v>-34416.891476056706</v>
          </cell>
          <cell r="I49">
            <v>-29056.838554522103</v>
          </cell>
          <cell r="J49">
            <v>-44282.192350937796</v>
          </cell>
          <cell r="K49">
            <v>-29404.801366354201</v>
          </cell>
          <cell r="L49">
            <v>-9633.2084141272699</v>
          </cell>
          <cell r="M49">
            <v>-34289.542230595798</v>
          </cell>
          <cell r="N49">
            <v>-51048.406516238501</v>
          </cell>
          <cell r="O49">
            <v>-38267.890108075095</v>
          </cell>
          <cell r="P49">
            <v>-27980.463068071</v>
          </cell>
          <cell r="Q49">
            <v>-14439.738238598</v>
          </cell>
          <cell r="R49">
            <v>-54082.017936387601</v>
          </cell>
          <cell r="S49">
            <v>-29696.802766779401</v>
          </cell>
          <cell r="T49">
            <v>-27601.4685517939</v>
          </cell>
          <cell r="U49">
            <v>-22953.410312014101</v>
          </cell>
          <cell r="V49">
            <v>-36344.592801159997</v>
          </cell>
          <cell r="W49">
            <v>-23865.026860609698</v>
          </cell>
          <cell r="X49">
            <v>-76453.743478946897</v>
          </cell>
          <cell r="Y49">
            <v>-55318.255728903896</v>
          </cell>
          <cell r="Z49">
            <v>-41548.749462860702</v>
          </cell>
          <cell r="AA49">
            <v>-28326.133178443699</v>
          </cell>
          <cell r="AB49">
            <v>-14142.7543702855</v>
          </cell>
          <cell r="AC49">
            <v>-80077.145494577795</v>
          </cell>
          <cell r="AD49">
            <v>-37789.981411554705</v>
          </cell>
          <cell r="AE49">
            <v>-30574.457257976101</v>
          </cell>
          <cell r="AF49">
            <v>-16471.452669800601</v>
          </cell>
          <cell r="AG49">
            <v>-77152.022030030101</v>
          </cell>
          <cell r="AH49">
            <v>-42285.172536000202</v>
          </cell>
          <cell r="AI49">
            <v>-27764.310428246401</v>
          </cell>
          <cell r="AJ49">
            <v>-31658.897941788498</v>
          </cell>
          <cell r="AK49">
            <v>-39248.9880707251</v>
          </cell>
          <cell r="AL49">
            <v>-46531.332780662698</v>
          </cell>
          <cell r="AP49">
            <v>0</v>
          </cell>
          <cell r="AT49">
            <v>0</v>
          </cell>
          <cell r="AX49">
            <v>0</v>
          </cell>
          <cell r="AZ49">
            <v>-269475.57024564769</v>
          </cell>
          <cell r="BA49">
            <v>-274509.94058488455</v>
          </cell>
          <cell r="BB49">
            <v>-383112.19074020587</v>
          </cell>
          <cell r="BC49">
            <v>-402169.0751717856</v>
          </cell>
          <cell r="BE49">
            <v>-90980.949645517307</v>
          </cell>
          <cell r="BF49">
            <v>-80201.160504198167</v>
          </cell>
          <cell r="BG49">
            <v>-93922.630865356914</v>
          </cell>
          <cell r="BH49">
            <v>-143587.22824315968</v>
          </cell>
          <cell r="BI49">
            <v>-91829.719735464183</v>
          </cell>
          <cell r="BJ49">
            <v>-132035.6750988118</v>
          </cell>
          <cell r="BK49">
            <v>-92711.404279515991</v>
          </cell>
          <cell r="BL49">
            <v>-131975.36020040829</v>
          </cell>
          <cell r="BM49">
            <v>-86664.900864666197</v>
          </cell>
          <cell r="BN49">
            <v>-62273.104981874596</v>
          </cell>
          <cell r="BO49">
            <v>-196478.15559533302</v>
          </cell>
          <cell r="BP49">
            <v>-126606.4867282176</v>
          </cell>
        </row>
        <row r="50">
          <cell r="D50">
            <v>-6329.4763010226006</v>
          </cell>
          <cell r="E50">
            <v>-2878.4926114541704</v>
          </cell>
          <cell r="F50">
            <v>-4839.1166456364999</v>
          </cell>
          <cell r="G50">
            <v>-5352.4711523652404</v>
          </cell>
          <cell r="H50">
            <v>-3732.90520106041</v>
          </cell>
          <cell r="I50">
            <v>-2100.2058906351999</v>
          </cell>
          <cell r="J50">
            <v>-2338.1581700808802</v>
          </cell>
          <cell r="K50">
            <v>-4743.8296113219594</v>
          </cell>
          <cell r="L50">
            <v>-3631.1537342670699</v>
          </cell>
          <cell r="M50">
            <v>-3553.2199865001903</v>
          </cell>
          <cell r="N50">
            <v>-4779.62229630602</v>
          </cell>
          <cell r="O50">
            <v>-4554.9223746062498</v>
          </cell>
          <cell r="P50">
            <v>-2429.70962647428</v>
          </cell>
          <cell r="Q50">
            <v>-2495.2210371094002</v>
          </cell>
          <cell r="R50">
            <v>-4789.9954056275001</v>
          </cell>
          <cell r="S50">
            <v>-5432.0703567232795</v>
          </cell>
          <cell r="T50">
            <v>-2365.3904672375897</v>
          </cell>
          <cell r="U50">
            <v>-3802.3333950638303</v>
          </cell>
          <cell r="V50">
            <v>-4102.1870432308106</v>
          </cell>
          <cell r="W50">
            <v>-6138.1994271978592</v>
          </cell>
          <cell r="X50">
            <v>-3092.8899281294603</v>
          </cell>
          <cell r="Y50">
            <v>-4222.2067826432904</v>
          </cell>
          <cell r="Z50">
            <v>-3873.2002520115302</v>
          </cell>
          <cell r="AA50">
            <v>-7674.9462245232398</v>
          </cell>
          <cell r="AB50">
            <v>-2441.6567744031599</v>
          </cell>
          <cell r="AC50">
            <v>-2703.9768812166699</v>
          </cell>
          <cell r="AD50">
            <v>-3200.1312405792801</v>
          </cell>
          <cell r="AE50">
            <v>-7043.8224892153003</v>
          </cell>
          <cell r="AF50">
            <v>-1329.2251904703801</v>
          </cell>
          <cell r="AG50">
            <v>-3662.4197351506</v>
          </cell>
          <cell r="AH50">
            <v>-4073.8140349205701</v>
          </cell>
          <cell r="AI50">
            <v>-3167.35664270295</v>
          </cell>
          <cell r="AJ50">
            <v>-2252.99441540723</v>
          </cell>
          <cell r="AK50">
            <v>-3474.1746731449302</v>
          </cell>
          <cell r="AL50">
            <v>-4630.6350091088098</v>
          </cell>
          <cell r="AP50">
            <v>0</v>
          </cell>
          <cell r="AT50">
            <v>0</v>
          </cell>
          <cell r="AX50">
            <v>0</v>
          </cell>
          <cell r="AZ50">
            <v>-47086.046861340285</v>
          </cell>
          <cell r="BA50">
            <v>-27605.401638472184</v>
          </cell>
          <cell r="BB50">
            <v>-28892.250992918282</v>
          </cell>
          <cell r="BC50">
            <v>-36626.860097501907</v>
          </cell>
          <cell r="BE50">
            <v>-13074.729346371409</v>
          </cell>
          <cell r="BF50">
            <v>-13693.535236350082</v>
          </cell>
          <cell r="BG50">
            <v>-8531.9184885895593</v>
          </cell>
          <cell r="BH50">
            <v>-11956.8971120234</v>
          </cell>
          <cell r="BI50">
            <v>-16125.192158527389</v>
          </cell>
          <cell r="BJ50">
            <v>-7887.9900218413295</v>
          </cell>
          <cell r="BK50">
            <v>-10519.761214816521</v>
          </cell>
          <cell r="BL50">
            <v>-12765.382700869843</v>
          </cell>
          <cell r="BM50">
            <v>-17886.125356441491</v>
          </cell>
          <cell r="BN50">
            <v>-6023.8763802807698</v>
          </cell>
          <cell r="BO50">
            <v>-9840.5712895122015</v>
          </cell>
          <cell r="BP50">
            <v>-11904.580284608659</v>
          </cell>
        </row>
        <row r="51">
          <cell r="D51">
            <v>-116080.61741322995</v>
          </cell>
          <cell r="E51">
            <v>-49044.27245012371</v>
          </cell>
          <cell r="F51">
            <v>-69340.996883587068</v>
          </cell>
          <cell r="G51">
            <v>-115860.86253219601</v>
          </cell>
          <cell r="H51">
            <v>-109946.47032479741</v>
          </cell>
          <cell r="I51">
            <v>-67447.434989880683</v>
          </cell>
          <cell r="J51">
            <v>-66790.980172551004</v>
          </cell>
          <cell r="K51">
            <v>-113548.78806138353</v>
          </cell>
          <cell r="L51">
            <v>-103075.03672598029</v>
          </cell>
          <cell r="M51">
            <v>-59877.51208382412</v>
          </cell>
          <cell r="N51">
            <v>-122475.7284666764</v>
          </cell>
          <cell r="O51">
            <v>-112455.06791250338</v>
          </cell>
          <cell r="P51">
            <v>-60381.572433250571</v>
          </cell>
          <cell r="Q51">
            <v>-56816.931757512924</v>
          </cell>
          <cell r="R51">
            <v>-122823.57385026876</v>
          </cell>
          <cell r="S51">
            <v>-111740.86985985927</v>
          </cell>
          <cell r="T51">
            <v>-49919.381660796149</v>
          </cell>
          <cell r="U51">
            <v>-41522.722986624089</v>
          </cell>
          <cell r="V51">
            <v>-118593.48173349243</v>
          </cell>
          <cell r="W51">
            <v>-71846.972130904498</v>
          </cell>
          <cell r="X51">
            <v>-320995.31856922677</v>
          </cell>
          <cell r="Y51">
            <v>-63088.550501989521</v>
          </cell>
          <cell r="Z51">
            <v>-95903.408820174707</v>
          </cell>
          <cell r="AA51">
            <v>-131989.74134764783</v>
          </cell>
          <cell r="AB51">
            <v>-54787.552058714049</v>
          </cell>
          <cell r="AC51">
            <v>-57898.437481749716</v>
          </cell>
          <cell r="AD51">
            <v>-89750.95878548146</v>
          </cell>
          <cell r="AE51">
            <v>-89179.633005904572</v>
          </cell>
          <cell r="AF51">
            <v>-74568.79206845336</v>
          </cell>
          <cell r="AG51">
            <v>-237258.39185573839</v>
          </cell>
          <cell r="AH51">
            <v>-82915.015150457883</v>
          </cell>
          <cell r="AI51">
            <v>-97604.940490574183</v>
          </cell>
          <cell r="AJ51">
            <v>-123119.91533391287</v>
          </cell>
          <cell r="AK51">
            <v>-78795.076035264821</v>
          </cell>
          <cell r="AL51">
            <v>-77020.927684133727</v>
          </cell>
          <cell r="AP51">
            <v>0</v>
          </cell>
          <cell r="AT51">
            <v>0</v>
          </cell>
          <cell r="AX51">
            <v>0</v>
          </cell>
          <cell r="AZ51">
            <v>-938567.56593333895</v>
          </cell>
          <cell r="BA51">
            <v>-1012875.6565883614</v>
          </cell>
          <cell r="BB51">
            <v>-711749.33014270803</v>
          </cell>
          <cell r="BC51">
            <v>-845615.0715468236</v>
          </cell>
          <cell r="BE51">
            <v>-323750.34118594514</v>
          </cell>
          <cell r="BF51">
            <v>-329105.12446400768</v>
          </cell>
          <cell r="BG51">
            <v>-176369.21952382851</v>
          </cell>
          <cell r="BH51">
            <v>-258607.70552281447</v>
          </cell>
          <cell r="BI51">
            <v>-296041.90990326717</v>
          </cell>
          <cell r="BJ51">
            <v>-431293.2726632735</v>
          </cell>
          <cell r="BK51">
            <v>-161430.20524612651</v>
          </cell>
          <cell r="BL51">
            <v>-337320.46440393594</v>
          </cell>
          <cell r="BM51">
            <v>-318775.31484412664</v>
          </cell>
          <cell r="BN51">
            <v>-252477.25946108031</v>
          </cell>
          <cell r="BO51">
            <v>-373949.90537275292</v>
          </cell>
          <cell r="BP51">
            <v>-249686.90162007304</v>
          </cell>
        </row>
        <row r="52">
          <cell r="D52">
            <v>-22069.091452147506</v>
          </cell>
          <cell r="E52">
            <v>-2702.7584931269853</v>
          </cell>
          <cell r="F52">
            <v>-8791.1389315027682</v>
          </cell>
          <cell r="G52">
            <v>-24051.457411886364</v>
          </cell>
          <cell r="H52">
            <v>-23347.608631376414</v>
          </cell>
          <cell r="I52">
            <v>-8008.5640383629016</v>
          </cell>
          <cell r="J52">
            <v>-10264.287169164692</v>
          </cell>
          <cell r="K52">
            <v>-26593.742843913733</v>
          </cell>
          <cell r="L52">
            <v>-13878.232128589589</v>
          </cell>
          <cell r="M52">
            <v>-7559.2459898541829</v>
          </cell>
          <cell r="N52">
            <v>-38073.168315247553</v>
          </cell>
          <cell r="O52">
            <v>-25019.807664873206</v>
          </cell>
          <cell r="P52">
            <v>-10897.399620173874</v>
          </cell>
          <cell r="Q52">
            <v>-12086.287501504759</v>
          </cell>
          <cell r="R52">
            <v>-19886.752508457048</v>
          </cell>
          <cell r="S52">
            <v>-27601.815307349221</v>
          </cell>
          <cell r="T52">
            <v>-2595.2389187372391</v>
          </cell>
          <cell r="U52">
            <v>-1916.111607729199</v>
          </cell>
          <cell r="V52">
            <v>-14385.624699922539</v>
          </cell>
          <cell r="W52">
            <v>-30006.203608414166</v>
          </cell>
          <cell r="X52">
            <v>-1299.2457310885866</v>
          </cell>
          <cell r="Y52">
            <v>-9536.736947648038</v>
          </cell>
          <cell r="Z52">
            <v>-17526.191066525236</v>
          </cell>
          <cell r="AA52">
            <v>-35466.101161943021</v>
          </cell>
          <cell r="AB52">
            <v>-4205.6504920326624</v>
          </cell>
          <cell r="AC52">
            <v>-8564.0085059193443</v>
          </cell>
          <cell r="AD52">
            <v>-20729.442446986312</v>
          </cell>
          <cell r="AE52">
            <v>-17205.718750041175</v>
          </cell>
          <cell r="AF52">
            <v>-24464.267554052141</v>
          </cell>
          <cell r="AG52">
            <v>-11851.419903975553</v>
          </cell>
          <cell r="AH52">
            <v>-22966.851170363538</v>
          </cell>
          <cell r="AI52">
            <v>-27132.036186314621</v>
          </cell>
          <cell r="AJ52">
            <v>14403.871900780108</v>
          </cell>
          <cell r="AK52">
            <v>-4309.7050913668008</v>
          </cell>
          <cell r="AL52">
            <v>-19783.331040731064</v>
          </cell>
          <cell r="AP52">
            <v>0</v>
          </cell>
          <cell r="AT52">
            <v>0</v>
          </cell>
          <cell r="AX52">
            <v>0</v>
          </cell>
          <cell r="AZ52">
            <v>-238303.1821491514</v>
          </cell>
          <cell r="BA52">
            <v>-88352.862627417882</v>
          </cell>
          <cell r="BB52">
            <v>-66534.838079487774</v>
          </cell>
          <cell r="BC52">
            <v>-172406.78734890075</v>
          </cell>
          <cell r="BE52">
            <v>-75871.499470215989</v>
          </cell>
          <cell r="BF52">
            <v>-59294.932212113505</v>
          </cell>
          <cell r="BG52">
            <v>-18270.56852134407</v>
          </cell>
          <cell r="BH52">
            <v>-57128.594415915009</v>
          </cell>
          <cell r="BI52">
            <v>-82627.826580636582</v>
          </cell>
          <cell r="BJ52">
            <v>-14791.8842699997</v>
          </cell>
          <cell r="BK52">
            <v>-23539.136056881995</v>
          </cell>
          <cell r="BL52">
            <v>-51798.568274904821</v>
          </cell>
          <cell r="BM52">
            <v>-79803.856098298813</v>
          </cell>
          <cell r="BN52">
            <v>-14266.046145304696</v>
          </cell>
          <cell r="BO52">
            <v>-24725.133501261698</v>
          </cell>
          <cell r="BP52">
            <v>-63479.624658080909</v>
          </cell>
        </row>
        <row r="53">
          <cell r="D53">
            <v>-13561.0743329369</v>
          </cell>
          <cell r="E53">
            <v>-3846.6925893224998</v>
          </cell>
          <cell r="F53">
            <v>-8246.31492495165</v>
          </cell>
          <cell r="G53">
            <v>-13268.902776947099</v>
          </cell>
          <cell r="H53">
            <v>-15042.6200663661</v>
          </cell>
          <cell r="I53">
            <v>-4983.7870922681104</v>
          </cell>
          <cell r="J53">
            <v>-7022.5218677578696</v>
          </cell>
          <cell r="K53">
            <v>-14676.860899686</v>
          </cell>
          <cell r="L53">
            <v>-13949.761003677299</v>
          </cell>
          <cell r="M53">
            <v>-4017.0094510037097</v>
          </cell>
          <cell r="N53">
            <v>-6674.5819350798902</v>
          </cell>
          <cell r="O53">
            <v>-11520.8541790373</v>
          </cell>
          <cell r="P53">
            <v>-5361.6482520169193</v>
          </cell>
          <cell r="Q53">
            <v>-4186.2308494014105</v>
          </cell>
          <cell r="R53">
            <v>-8349.0833248956496</v>
          </cell>
          <cell r="S53">
            <v>-13215.844513886999</v>
          </cell>
          <cell r="T53">
            <v>1543.2753555658599</v>
          </cell>
          <cell r="U53">
            <v>-2808.9494003647701</v>
          </cell>
          <cell r="V53">
            <v>-9298.0351403815603</v>
          </cell>
          <cell r="W53">
            <v>-13061.5003311455</v>
          </cell>
          <cell r="X53">
            <v>-2774.3734430193299</v>
          </cell>
          <cell r="Y53">
            <v>-6021.8268028586008</v>
          </cell>
          <cell r="Z53">
            <v>-7893.4154291661398</v>
          </cell>
          <cell r="AA53">
            <v>-13852.071665479099</v>
          </cell>
          <cell r="AB53">
            <v>-1020.66416180337</v>
          </cell>
          <cell r="AC53">
            <v>-4808.2528323865299</v>
          </cell>
          <cell r="AD53">
            <v>-9060.724418653519</v>
          </cell>
          <cell r="AE53">
            <v>-19456.9310061734</v>
          </cell>
          <cell r="AF53">
            <v>-5575.66601034222</v>
          </cell>
          <cell r="AG53">
            <v>-6171.3765226416699</v>
          </cell>
          <cell r="AH53">
            <v>-11578.6663340206</v>
          </cell>
          <cell r="AI53">
            <v>-10906.584214390701</v>
          </cell>
          <cell r="AJ53">
            <v>-4348.9685651307</v>
          </cell>
          <cell r="AK53">
            <v>-7833.6321598616296</v>
          </cell>
          <cell r="AL53">
            <v>-10073.4272515746</v>
          </cell>
          <cell r="AP53">
            <v>0</v>
          </cell>
          <cell r="AT53">
            <v>0</v>
          </cell>
          <cell r="AX53">
            <v>0</v>
          </cell>
          <cell r="AZ53">
            <v>-121781.06617493201</v>
          </cell>
          <cell r="BA53">
            <v>-60091.500479726979</v>
          </cell>
          <cell r="BB53">
            <v>-44677.75770010893</v>
          </cell>
          <cell r="BC53">
            <v>-78196.770626481462</v>
          </cell>
          <cell r="BE53">
            <v>-39767.280264818997</v>
          </cell>
          <cell r="BF53">
            <v>-42553.455402980297</v>
          </cell>
          <cell r="BG53">
            <v>-12847.489132594321</v>
          </cell>
          <cell r="BH53">
            <v>-21943.418727789409</v>
          </cell>
          <cell r="BI53">
            <v>-37798.1990240698</v>
          </cell>
          <cell r="BJ53">
            <v>-6592.7463394703891</v>
          </cell>
          <cell r="BK53">
            <v>-13017.007052624782</v>
          </cell>
          <cell r="BL53">
            <v>-25540.53389444335</v>
          </cell>
          <cell r="BM53">
            <v>-44215.586886043202</v>
          </cell>
          <cell r="BN53">
            <v>-10945.298737276291</v>
          </cell>
          <cell r="BO53">
            <v>-18813.261514889829</v>
          </cell>
          <cell r="BP53">
            <v>-30712.818004248715</v>
          </cell>
        </row>
        <row r="54">
          <cell r="D54">
            <v>-12.409429020270306</v>
          </cell>
          <cell r="E54">
            <v>0</v>
          </cell>
          <cell r="F54">
            <v>0</v>
          </cell>
          <cell r="G54">
            <v>-11.38326790026743</v>
          </cell>
          <cell r="H54">
            <v>-2.079859186528441</v>
          </cell>
          <cell r="I54">
            <v>-0.2</v>
          </cell>
          <cell r="J54">
            <v>0</v>
          </cell>
          <cell r="K54">
            <v>-19.042809999999999</v>
          </cell>
          <cell r="L54">
            <v>-2.2491300000000001</v>
          </cell>
          <cell r="M54">
            <v>0</v>
          </cell>
          <cell r="N54">
            <v>0.25</v>
          </cell>
          <cell r="O54">
            <v>-16.141559999999998</v>
          </cell>
          <cell r="P54">
            <v>-0.87657003655204235</v>
          </cell>
          <cell r="Q54">
            <v>-1.5339999999999999E-2</v>
          </cell>
          <cell r="R54">
            <v>0</v>
          </cell>
          <cell r="S54">
            <v>-11.483300086455211</v>
          </cell>
          <cell r="T54">
            <v>0</v>
          </cell>
          <cell r="U54">
            <v>0</v>
          </cell>
          <cell r="V54">
            <v>0</v>
          </cell>
          <cell r="W54">
            <v>-11.747787801716301</v>
          </cell>
          <cell r="X54">
            <v>0</v>
          </cell>
          <cell r="Y54">
            <v>-1.32071725014397E-2</v>
          </cell>
          <cell r="Z54">
            <v>1.65421</v>
          </cell>
          <cell r="AA54">
            <v>-11.293469999999999</v>
          </cell>
          <cell r="AB54">
            <v>-0.20758000000000001</v>
          </cell>
          <cell r="AC54">
            <v>-0.04</v>
          </cell>
          <cell r="AD54">
            <v>0</v>
          </cell>
          <cell r="AE54">
            <v>-10.089090016767441</v>
          </cell>
          <cell r="AF54">
            <v>-0.35249999999999998</v>
          </cell>
          <cell r="AG54">
            <v>-1.00702</v>
          </cell>
          <cell r="AH54">
            <v>0</v>
          </cell>
          <cell r="AI54">
            <v>-12.563460000000001</v>
          </cell>
          <cell r="AJ54">
            <v>0</v>
          </cell>
          <cell r="AK54">
            <v>-65.924265543993798</v>
          </cell>
          <cell r="AL54">
            <v>0</v>
          </cell>
          <cell r="AP54">
            <v>0</v>
          </cell>
          <cell r="AT54">
            <v>0</v>
          </cell>
          <cell r="AX54">
            <v>0</v>
          </cell>
          <cell r="AZ54">
            <v>-113.31968819337641</v>
          </cell>
          <cell r="BA54">
            <v>-18.17506824335079</v>
          </cell>
          <cell r="BB54">
            <v>-67.199832716495237</v>
          </cell>
          <cell r="BC54">
            <v>1.90421</v>
          </cell>
          <cell r="BE54">
            <v>-40.001020288437445</v>
          </cell>
          <cell r="BF54">
            <v>-16.738418206798748</v>
          </cell>
          <cell r="BG54">
            <v>-0.2</v>
          </cell>
          <cell r="BH54">
            <v>0.25</v>
          </cell>
          <cell r="BI54">
            <v>-39.372647888171507</v>
          </cell>
          <cell r="BJ54">
            <v>-0.87657003655204235</v>
          </cell>
          <cell r="BK54">
            <v>-2.8547172501439698E-2</v>
          </cell>
          <cell r="BL54">
            <v>1.65421</v>
          </cell>
          <cell r="BM54">
            <v>-33.946020016767442</v>
          </cell>
          <cell r="BN54">
            <v>-0.56008000000000002</v>
          </cell>
          <cell r="BO54">
            <v>-66.971285543993801</v>
          </cell>
          <cell r="BP54">
            <v>0</v>
          </cell>
        </row>
        <row r="55">
          <cell r="D55">
            <v>-29379.707156369299</v>
          </cell>
          <cell r="E55">
            <v>-7911.0530508827696</v>
          </cell>
          <cell r="F55">
            <v>-18423.670302582403</v>
          </cell>
          <cell r="G55">
            <v>-25631.737941741299</v>
          </cell>
          <cell r="H55">
            <v>-27340.062293159801</v>
          </cell>
          <cell r="I55">
            <v>-19391.892828379099</v>
          </cell>
          <cell r="J55">
            <v>-17804.084500158602</v>
          </cell>
          <cell r="K55">
            <v>-25827.688570284601</v>
          </cell>
          <cell r="L55">
            <v>-27825.113719151501</v>
          </cell>
          <cell r="M55">
            <v>-13063.291126341799</v>
          </cell>
          <cell r="N55">
            <v>-27926.019862904599</v>
          </cell>
          <cell r="O55">
            <v>-22323.577633687401</v>
          </cell>
          <cell r="P55">
            <v>-11927.5267271512</v>
          </cell>
          <cell r="Q55">
            <v>-8668.5778732750096</v>
          </cell>
          <cell r="R55">
            <v>-55034.451917974096</v>
          </cell>
          <cell r="S55">
            <v>-12562.950068031299</v>
          </cell>
          <cell r="T55">
            <v>-20689.997655379899</v>
          </cell>
          <cell r="U55">
            <v>-4578.0769077598397</v>
          </cell>
          <cell r="V55">
            <v>-43848.859517397097</v>
          </cell>
          <cell r="W55">
            <v>12177.980241392101</v>
          </cell>
          <cell r="X55">
            <v>-186611.63532787</v>
          </cell>
          <cell r="Y55">
            <v>-9531.0205610048197</v>
          </cell>
          <cell r="Z55">
            <v>-16811.3301588133</v>
          </cell>
          <cell r="AA55">
            <v>-24211.897885632101</v>
          </cell>
          <cell r="AB55">
            <v>-23798.412705312399</v>
          </cell>
          <cell r="AC55">
            <v>-11841.636855806399</v>
          </cell>
          <cell r="AD55">
            <v>-14610.668307884102</v>
          </cell>
          <cell r="AE55">
            <v>-14128.1640793609</v>
          </cell>
          <cell r="AF55">
            <v>-22691.497382497</v>
          </cell>
          <cell r="AG55">
            <v>-163174.73489205501</v>
          </cell>
          <cell r="AH55">
            <v>-4817.1250767521196</v>
          </cell>
          <cell r="AI55">
            <v>-11980.412769500001</v>
          </cell>
          <cell r="AJ55">
            <v>-91036.529975429905</v>
          </cell>
          <cell r="AK55">
            <v>-39007.965488059795</v>
          </cell>
          <cell r="AL55">
            <v>-1383.0795860128701</v>
          </cell>
          <cell r="AP55">
            <v>0</v>
          </cell>
          <cell r="AT55">
            <v>0</v>
          </cell>
          <cell r="AX55">
            <v>0</v>
          </cell>
          <cell r="AZ55">
            <v>-140777.6158820593</v>
          </cell>
          <cell r="BA55">
            <v>-441300.48294232099</v>
          </cell>
          <cell r="BB55">
            <v>-277168.24958356458</v>
          </cell>
          <cell r="BC55">
            <v>-200659.28923047919</v>
          </cell>
          <cell r="BE55">
            <v>-67748.5936872397</v>
          </cell>
          <cell r="BF55">
            <v>-84544.883168680593</v>
          </cell>
          <cell r="BG55">
            <v>-40366.237005603667</v>
          </cell>
          <cell r="BH55">
            <v>-64153.774665645607</v>
          </cell>
          <cell r="BI55">
            <v>-22708.547460326605</v>
          </cell>
          <cell r="BJ55">
            <v>-219229.15971040109</v>
          </cell>
          <cell r="BK55">
            <v>-22777.675342039671</v>
          </cell>
          <cell r="BL55">
            <v>-115694.6415941845</v>
          </cell>
          <cell r="BM55">
            <v>-50320.474734493</v>
          </cell>
          <cell r="BN55">
            <v>-137526.44006323931</v>
          </cell>
          <cell r="BO55">
            <v>-214024.33723592121</v>
          </cell>
          <cell r="BP55">
            <v>-20810.872970649092</v>
          </cell>
        </row>
        <row r="56">
          <cell r="D56">
            <v>-51058.335042755971</v>
          </cell>
          <cell r="E56">
            <v>-34583.768316791458</v>
          </cell>
          <cell r="F56">
            <v>-33879.872724550238</v>
          </cell>
          <cell r="G56">
            <v>-52897.38113372097</v>
          </cell>
          <cell r="H56">
            <v>-44214.099474708557</v>
          </cell>
          <cell r="I56">
            <v>-35062.991030870566</v>
          </cell>
          <cell r="J56">
            <v>-31700.08663546983</v>
          </cell>
          <cell r="K56">
            <v>-46431.452937499205</v>
          </cell>
          <cell r="L56">
            <v>-47419.680744561912</v>
          </cell>
          <cell r="M56">
            <v>-35237.965516624427</v>
          </cell>
          <cell r="N56">
            <v>-49802.208353444359</v>
          </cell>
          <cell r="O56">
            <v>-53574.686874905477</v>
          </cell>
          <cell r="P56">
            <v>-32194.121263872024</v>
          </cell>
          <cell r="Q56">
            <v>-31875.820193331747</v>
          </cell>
          <cell r="R56">
            <v>-39553.28609894195</v>
          </cell>
          <cell r="S56">
            <v>-58348.7766705053</v>
          </cell>
          <cell r="T56">
            <v>-28177.420442244867</v>
          </cell>
          <cell r="U56">
            <v>-32219.585070770278</v>
          </cell>
          <cell r="V56">
            <v>-51060.962375791234</v>
          </cell>
          <cell r="W56">
            <v>-40945.500644935215</v>
          </cell>
          <cell r="X56">
            <v>-130310.0640672489</v>
          </cell>
          <cell r="Y56">
            <v>-37998.952983305557</v>
          </cell>
          <cell r="Z56">
            <v>-53674.126375670035</v>
          </cell>
          <cell r="AA56">
            <v>-58448.377164593607</v>
          </cell>
          <cell r="AB56">
            <v>-25762.617119565617</v>
          </cell>
          <cell r="AC56">
            <v>-32684.499287637445</v>
          </cell>
          <cell r="AD56">
            <v>-45350.123611957519</v>
          </cell>
          <cell r="AE56">
            <v>-38378.730080312336</v>
          </cell>
          <cell r="AF56">
            <v>-21837.008621562003</v>
          </cell>
          <cell r="AG56">
            <v>-56059.853517066134</v>
          </cell>
          <cell r="AH56">
            <v>-43552.372569321626</v>
          </cell>
          <cell r="AI56">
            <v>-47573.343860368863</v>
          </cell>
          <cell r="AJ56">
            <v>-42138.288694132367</v>
          </cell>
          <cell r="AK56">
            <v>-27577.849030432604</v>
          </cell>
          <cell r="AL56">
            <v>-45781.089805815187</v>
          </cell>
          <cell r="AP56">
            <v>0</v>
          </cell>
          <cell r="AT56">
            <v>0</v>
          </cell>
          <cell r="AX56">
            <v>0</v>
          </cell>
          <cell r="AZ56">
            <v>-437592.38203900284</v>
          </cell>
          <cell r="BA56">
            <v>-423112.6354706522</v>
          </cell>
          <cell r="BB56">
            <v>-323301.28494683019</v>
          </cell>
          <cell r="BC56">
            <v>-394354.12855096202</v>
          </cell>
          <cell r="BE56">
            <v>-140322.96674338201</v>
          </cell>
          <cell r="BF56">
            <v>-142695.11526202646</v>
          </cell>
          <cell r="BG56">
            <v>-104884.72486428644</v>
          </cell>
          <cell r="BH56">
            <v>-115382.16771346443</v>
          </cell>
          <cell r="BI56">
            <v>-152867.96419034599</v>
          </cell>
          <cell r="BJ56">
            <v>-190678.60577336579</v>
          </cell>
          <cell r="BK56">
            <v>-102096.35824740758</v>
          </cell>
          <cell r="BL56">
            <v>-144288.37485040323</v>
          </cell>
          <cell r="BM56">
            <v>-144401.45110527484</v>
          </cell>
          <cell r="BN56">
            <v>-89738.914435259998</v>
          </cell>
          <cell r="BO56">
            <v>-116320.20183513618</v>
          </cell>
          <cell r="BP56">
            <v>-134683.58598709432</v>
          </cell>
        </row>
        <row r="57">
          <cell r="D57">
            <v>-15250.4407226066</v>
          </cell>
          <cell r="E57">
            <v>-13325.7222537657</v>
          </cell>
          <cell r="F57">
            <v>-10370.0125185301</v>
          </cell>
          <cell r="G57">
            <v>-14118.056223416601</v>
          </cell>
          <cell r="H57">
            <v>-12343.411102915799</v>
          </cell>
          <cell r="I57">
            <v>-11525.637762004801</v>
          </cell>
          <cell r="J57">
            <v>-3794.3812962362699</v>
          </cell>
          <cell r="K57">
            <v>-11767.8921641754</v>
          </cell>
          <cell r="L57">
            <v>-5783.4845013745498</v>
          </cell>
          <cell r="M57">
            <v>-8202.98665648733</v>
          </cell>
          <cell r="N57">
            <v>-14361.318719082999</v>
          </cell>
          <cell r="O57">
            <v>-11057.8745066428</v>
          </cell>
          <cell r="P57">
            <v>-8637.1535131364417</v>
          </cell>
          <cell r="Q57">
            <v>-10139.464515245101</v>
          </cell>
          <cell r="R57">
            <v>-10826.8638803957</v>
          </cell>
          <cell r="S57">
            <v>-14434.568833371099</v>
          </cell>
          <cell r="T57">
            <v>-4011.8559086186001</v>
          </cell>
          <cell r="U57">
            <v>-11522.853061094302</v>
          </cell>
          <cell r="V57">
            <v>-22270.399206302402</v>
          </cell>
          <cell r="W57">
            <v>-11158.369783020999</v>
          </cell>
          <cell r="X57">
            <v>-23204.391453424498</v>
          </cell>
          <cell r="Y57">
            <v>-9146.189242494389</v>
          </cell>
          <cell r="Z57">
            <v>-13020.0019977677</v>
          </cell>
          <cell r="AA57">
            <v>-11546.206836975301</v>
          </cell>
          <cell r="AB57">
            <v>-3492.2525564249599</v>
          </cell>
          <cell r="AC57">
            <v>-8719.2728445935609</v>
          </cell>
          <cell r="AD57">
            <v>-16064.4294897174</v>
          </cell>
          <cell r="AE57">
            <v>-8240.5499268767308</v>
          </cell>
          <cell r="AF57">
            <v>-8950.85308201714</v>
          </cell>
          <cell r="AG57">
            <v>-14957.4411050238</v>
          </cell>
          <cell r="AH57">
            <v>-13168.403583461999</v>
          </cell>
          <cell r="AI57">
            <v>-9298.7833873808704</v>
          </cell>
          <cell r="AJ57">
            <v>-16194.686508001501</v>
          </cell>
          <cell r="AK57">
            <v>-8769.5688852173207</v>
          </cell>
          <cell r="AL57">
            <v>-15788.556429279299</v>
          </cell>
          <cell r="AP57">
            <v>0</v>
          </cell>
          <cell r="AT57">
            <v>0</v>
          </cell>
          <cell r="AX57">
            <v>0</v>
          </cell>
          <cell r="AZ57">
            <v>-94370.941086847713</v>
          </cell>
          <cell r="BA57">
            <v>-97868.529348520096</v>
          </cell>
          <cell r="BB57">
            <v>-96309.136325926287</v>
          </cell>
          <cell r="BC57">
            <v>-119664.36712077387</v>
          </cell>
          <cell r="BE57">
            <v>-28634.587812579914</v>
          </cell>
          <cell r="BF57">
            <v>-33377.336326896948</v>
          </cell>
          <cell r="BG57">
            <v>-33054.346672257831</v>
          </cell>
          <cell r="BH57">
            <v>-28525.712533849372</v>
          </cell>
          <cell r="BI57">
            <v>-36650.813123034895</v>
          </cell>
          <cell r="BJ57">
            <v>-35853.400875179541</v>
          </cell>
          <cell r="BK57">
            <v>-30808.50681883379</v>
          </cell>
          <cell r="BL57">
            <v>-46117.265084465806</v>
          </cell>
          <cell r="BM57">
            <v>-29085.540151232904</v>
          </cell>
          <cell r="BN57">
            <v>-28637.7921464436</v>
          </cell>
          <cell r="BO57">
            <v>-32446.282834834681</v>
          </cell>
          <cell r="BP57">
            <v>-45021.389502458696</v>
          </cell>
        </row>
        <row r="58">
          <cell r="D58">
            <v>-15502.322351968811</v>
          </cell>
          <cell r="E58">
            <v>-5537.8130387536603</v>
          </cell>
          <cell r="F58">
            <v>-8405.3882714209794</v>
          </cell>
          <cell r="G58">
            <v>-17839.480495969412</v>
          </cell>
          <cell r="H58">
            <v>-15357.228023339301</v>
          </cell>
          <cell r="I58">
            <v>-6457.7401613889697</v>
          </cell>
          <cell r="J58">
            <v>-9987.5314324296105</v>
          </cell>
          <cell r="K58">
            <v>-16283.835390098851</v>
          </cell>
          <cell r="L58">
            <v>-12847.721233656992</v>
          </cell>
          <cell r="M58">
            <v>-6446.9757259446906</v>
          </cell>
          <cell r="N58">
            <v>-10306.90888951082</v>
          </cell>
          <cell r="O58">
            <v>-15598.986624631611</v>
          </cell>
          <cell r="P58">
            <v>-6339.4707420396198</v>
          </cell>
          <cell r="Q58">
            <v>-5232.0188721783297</v>
          </cell>
          <cell r="R58">
            <v>-10212.71994981565</v>
          </cell>
          <cell r="S58">
            <v>-15455.318034276079</v>
          </cell>
          <cell r="T58">
            <v>-2331.2166477294882</v>
          </cell>
          <cell r="U58">
            <v>-5274.3488361184091</v>
          </cell>
          <cell r="V58">
            <v>-9701.5716956707802</v>
          </cell>
          <cell r="W58">
            <v>-15583.725864475929</v>
          </cell>
          <cell r="X58">
            <v>-2793.3920955101198</v>
          </cell>
          <cell r="Y58">
            <v>-4798.6071468240498</v>
          </cell>
          <cell r="Z58">
            <v>-9905.2051348925306</v>
          </cell>
          <cell r="AA58">
            <v>-15960.35643043257</v>
          </cell>
          <cell r="AB58">
            <v>-3209.8732313207902</v>
          </cell>
          <cell r="AC58">
            <v>-5855.7254642099106</v>
          </cell>
          <cell r="AD58">
            <v>-11044.40466818401</v>
          </cell>
          <cell r="AE58">
            <v>-18633.737603751892</v>
          </cell>
          <cell r="AF58">
            <v>-2979.4348766521439</v>
          </cell>
          <cell r="AG58">
            <v>-7180.7443620905697</v>
          </cell>
          <cell r="AH58">
            <v>-11446.66650931905</v>
          </cell>
          <cell r="AI58">
            <v>-15955.89284088559</v>
          </cell>
          <cell r="AJ58">
            <v>-3307.7911352885894</v>
          </cell>
          <cell r="AK58">
            <v>-3502.2891641809492</v>
          </cell>
          <cell r="AL58">
            <v>-11508.509819965419</v>
          </cell>
          <cell r="AP58">
            <v>0</v>
          </cell>
          <cell r="AT58">
            <v>0</v>
          </cell>
          <cell r="AX58">
            <v>0</v>
          </cell>
          <cell r="AZ58">
            <v>-149064.11855137488</v>
          </cell>
          <cell r="BA58">
            <v>-64668.450337505856</v>
          </cell>
          <cell r="BB58">
            <v>-50286.262771689529</v>
          </cell>
          <cell r="BC58">
            <v>-92518.906371208854</v>
          </cell>
          <cell r="BE58">
            <v>-51876.101152921212</v>
          </cell>
          <cell r="BF58">
            <v>-43707.271608965108</v>
          </cell>
          <cell r="BG58">
            <v>-18442.528926087318</v>
          </cell>
          <cell r="BH58">
            <v>-28699.82859336141</v>
          </cell>
          <cell r="BI58">
            <v>-46638.030523383619</v>
          </cell>
          <cell r="BJ58">
            <v>-11464.079485279228</v>
          </cell>
          <cell r="BK58">
            <v>-15304.974855120789</v>
          </cell>
          <cell r="BL58">
            <v>-29819.496780378962</v>
          </cell>
          <cell r="BM58">
            <v>-50549.986875070055</v>
          </cell>
          <cell r="BN58">
            <v>-9497.099243261524</v>
          </cell>
          <cell r="BO58">
            <v>-16538.75899048143</v>
          </cell>
          <cell r="BP58">
            <v>-33999.580997468474</v>
          </cell>
        </row>
        <row r="59">
          <cell r="D59">
            <v>-724.73381516516008</v>
          </cell>
          <cell r="E59">
            <v>-620.41328761106911</v>
          </cell>
          <cell r="F59">
            <v>-456.26844637938058</v>
          </cell>
          <cell r="G59">
            <v>-1039.605570209435</v>
          </cell>
          <cell r="H59">
            <v>-859.173170930938</v>
          </cell>
          <cell r="I59">
            <v>-720.82773731213103</v>
          </cell>
          <cell r="J59">
            <v>-563.36935731768142</v>
          </cell>
          <cell r="K59">
            <v>-973.84597195977074</v>
          </cell>
          <cell r="L59">
            <v>-589.73049697004558</v>
          </cell>
          <cell r="M59">
            <v>-762.46902121772064</v>
          </cell>
          <cell r="N59">
            <v>-500.76912154759992</v>
          </cell>
          <cell r="O59">
            <v>-951.18857406153165</v>
          </cell>
          <cell r="P59">
            <v>-135.5499038894967</v>
          </cell>
          <cell r="Q59">
            <v>-746.44971563278887</v>
          </cell>
          <cell r="R59">
            <v>-504.42715496018928</v>
          </cell>
          <cell r="S59">
            <v>-1212.5008529785168</v>
          </cell>
          <cell r="T59">
            <v>-810.49091133124466</v>
          </cell>
          <cell r="U59">
            <v>-664.29132114401887</v>
          </cell>
          <cell r="V59">
            <v>-566.68222207254496</v>
          </cell>
          <cell r="W59">
            <v>-1016.4919381127515</v>
          </cell>
          <cell r="X59">
            <v>-21.534586563473791</v>
          </cell>
          <cell r="Y59">
            <v>-614.72625789721485</v>
          </cell>
          <cell r="Z59">
            <v>-515.70359791591602</v>
          </cell>
          <cell r="AA59">
            <v>-795.27348312333334</v>
          </cell>
          <cell r="AB59">
            <v>-1001.3541431279687</v>
          </cell>
          <cell r="AC59">
            <v>-559.9711437695081</v>
          </cell>
          <cell r="AD59">
            <v>-581.76893837872035</v>
          </cell>
          <cell r="AE59">
            <v>-1119.6571679410511</v>
          </cell>
          <cell r="AF59">
            <v>-632.94492025737884</v>
          </cell>
          <cell r="AG59">
            <v>-487.69334784527712</v>
          </cell>
          <cell r="AH59">
            <v>-938.207237775723</v>
          </cell>
          <cell r="AI59">
            <v>-609.02289116497957</v>
          </cell>
          <cell r="AJ59">
            <v>-717.85752067161047</v>
          </cell>
          <cell r="AK59">
            <v>-304.28150873059843</v>
          </cell>
          <cell r="AL59">
            <v>-685.15638088878791</v>
          </cell>
          <cell r="AP59">
            <v>0</v>
          </cell>
          <cell r="AT59">
            <v>0</v>
          </cell>
          <cell r="AX59">
            <v>0</v>
          </cell>
          <cell r="AZ59">
            <v>-8337.9411228356839</v>
          </cell>
          <cell r="BA59">
            <v>-5493.3694689073163</v>
          </cell>
          <cell r="BB59">
            <v>-5481.1233411603271</v>
          </cell>
          <cell r="BC59">
            <v>-5312.3524572365432</v>
          </cell>
          <cell r="BE59">
            <v>-2633.8062154535187</v>
          </cell>
          <cell r="BF59">
            <v>-2173.6374830661434</v>
          </cell>
          <cell r="BG59">
            <v>-2103.7100461409209</v>
          </cell>
          <cell r="BH59">
            <v>-1520.406925244662</v>
          </cell>
          <cell r="BI59">
            <v>-3180.1813651528</v>
          </cell>
          <cell r="BJ59">
            <v>-967.57540178421516</v>
          </cell>
          <cell r="BK59">
            <v>-2025.4672946740225</v>
          </cell>
          <cell r="BL59">
            <v>-1586.8129749486502</v>
          </cell>
          <cell r="BM59">
            <v>-2523.9535422293638</v>
          </cell>
          <cell r="BN59">
            <v>-2352.1565840569579</v>
          </cell>
          <cell r="BO59">
            <v>-1351.9460003453837</v>
          </cell>
          <cell r="BP59">
            <v>-2205.1325570432309</v>
          </cell>
        </row>
        <row r="60">
          <cell r="D60">
            <v>-17707.20456680399</v>
          </cell>
          <cell r="E60">
            <v>-14502.969293647342</v>
          </cell>
          <cell r="F60">
            <v>-14003.609000549228</v>
          </cell>
          <cell r="G60">
            <v>-18521.921264723132</v>
          </cell>
          <cell r="H60">
            <v>-14401.604326169887</v>
          </cell>
          <cell r="I60">
            <v>-15193.32987538897</v>
          </cell>
          <cell r="J60">
            <v>-16619.460843600213</v>
          </cell>
          <cell r="K60">
            <v>-16251.136277980115</v>
          </cell>
          <cell r="L60">
            <v>-26798.023130967176</v>
          </cell>
          <cell r="M60">
            <v>-18156.197011970573</v>
          </cell>
          <cell r="N60">
            <v>-23824.735109754358</v>
          </cell>
          <cell r="O60">
            <v>-24645.698344503377</v>
          </cell>
          <cell r="P60">
            <v>-16105.916090268629</v>
          </cell>
          <cell r="Q60">
            <v>-15006.881773056642</v>
          </cell>
          <cell r="R60">
            <v>-16917.524988096964</v>
          </cell>
          <cell r="S60">
            <v>-25214.340510123042</v>
          </cell>
          <cell r="T60">
            <v>-20353.981527597807</v>
          </cell>
          <cell r="U60">
            <v>-15031.698617842665</v>
          </cell>
          <cell r="V60">
            <v>-17156.070280734355</v>
          </cell>
          <cell r="W60">
            <v>-11737.452538645553</v>
          </cell>
          <cell r="X60">
            <v>-103579.03171182788</v>
          </cell>
          <cell r="Y60">
            <v>-22626.827940505751</v>
          </cell>
          <cell r="Z60">
            <v>-27221.807213109158</v>
          </cell>
          <cell r="AA60">
            <v>-28477.984369003709</v>
          </cell>
          <cell r="AB60">
            <v>-17363.114132214709</v>
          </cell>
          <cell r="AC60">
            <v>-16921.946508462865</v>
          </cell>
          <cell r="AD60">
            <v>-16220.261054560022</v>
          </cell>
          <cell r="AE60">
            <v>-9040.7548695803162</v>
          </cell>
          <cell r="AF60">
            <v>-8937.8396552959621</v>
          </cell>
          <cell r="AG60">
            <v>-32661.303085767762</v>
          </cell>
          <cell r="AH60">
            <v>-16226.103502965916</v>
          </cell>
          <cell r="AI60">
            <v>-20074.620012630414</v>
          </cell>
          <cell r="AJ60">
            <v>-20905.045143092797</v>
          </cell>
          <cell r="AK60">
            <v>-14183.244425058931</v>
          </cell>
          <cell r="AL60">
            <v>-19513.795632834808</v>
          </cell>
          <cell r="AP60">
            <v>0</v>
          </cell>
          <cell r="AT60">
            <v>0</v>
          </cell>
          <cell r="AX60">
            <v>0</v>
          </cell>
          <cell r="AZ60">
            <v>-171501.10312691459</v>
          </cell>
          <cell r="BA60">
            <v>-246151.76028423884</v>
          </cell>
          <cell r="BB60">
            <v>-164284.39853170147</v>
          </cell>
          <cell r="BC60">
            <v>-167703.36762620503</v>
          </cell>
          <cell r="BE60">
            <v>-52310.25248242815</v>
          </cell>
          <cell r="BF60">
            <v>-58906.832023941053</v>
          </cell>
          <cell r="BG60">
            <v>-47852.496181006885</v>
          </cell>
          <cell r="BH60">
            <v>-54447.804953903797</v>
          </cell>
          <cell r="BI60">
            <v>-61597.491393271965</v>
          </cell>
          <cell r="BJ60">
            <v>-140038.92932969431</v>
          </cell>
          <cell r="BK60">
            <v>-52665.408331405059</v>
          </cell>
          <cell r="BL60">
            <v>-61295.402481940473</v>
          </cell>
          <cell r="BM60">
            <v>-57593.359251214439</v>
          </cell>
          <cell r="BN60">
            <v>-47205.998930603469</v>
          </cell>
          <cell r="BO60">
            <v>-63766.494019289559</v>
          </cell>
          <cell r="BP60">
            <v>-51960.160190360744</v>
          </cell>
        </row>
        <row r="61">
          <cell r="D61">
            <v>-1873.633586211414</v>
          </cell>
          <cell r="E61">
            <v>-596.85044301368748</v>
          </cell>
          <cell r="F61">
            <v>-644.59448767054607</v>
          </cell>
          <cell r="G61">
            <v>-1378.3175794023859</v>
          </cell>
          <cell r="H61">
            <v>-1252.6828513526339</v>
          </cell>
          <cell r="I61">
            <v>-1164.4554947756901</v>
          </cell>
          <cell r="J61">
            <v>-735.34370588605896</v>
          </cell>
          <cell r="K61">
            <v>-1154.7431332850661</v>
          </cell>
          <cell r="L61">
            <v>-1403.72138159315</v>
          </cell>
          <cell r="M61">
            <v>-1670.3371010041101</v>
          </cell>
          <cell r="N61">
            <v>-808.47651354858306</v>
          </cell>
          <cell r="O61">
            <v>-1320.9388250661568</v>
          </cell>
          <cell r="P61">
            <v>-976.03101453783711</v>
          </cell>
          <cell r="Q61">
            <v>-751.00531721888456</v>
          </cell>
          <cell r="R61">
            <v>-1091.750125673444</v>
          </cell>
          <cell r="S61">
            <v>-2032.0484397565651</v>
          </cell>
          <cell r="T61">
            <v>-666.87544696772795</v>
          </cell>
          <cell r="U61">
            <v>271.60676542911801</v>
          </cell>
          <cell r="V61">
            <v>-1366.2389710111547</v>
          </cell>
          <cell r="W61">
            <v>-1448.4605206799799</v>
          </cell>
          <cell r="X61">
            <v>-711.71421992292767</v>
          </cell>
          <cell r="Y61">
            <v>-812.60239558414901</v>
          </cell>
          <cell r="Z61">
            <v>-3011.4084319847329</v>
          </cell>
          <cell r="AA61">
            <v>-1668.55604505869</v>
          </cell>
          <cell r="AB61">
            <v>-696.02305647718697</v>
          </cell>
          <cell r="AC61">
            <v>-625.58332660160295</v>
          </cell>
          <cell r="AD61">
            <v>-1439.2594611173711</v>
          </cell>
          <cell r="AE61">
            <v>-1344.030512162343</v>
          </cell>
          <cell r="AF61">
            <v>-335.9360873393789</v>
          </cell>
          <cell r="AG61">
            <v>-772.67161633872297</v>
          </cell>
          <cell r="AH61">
            <v>-1772.991735798943</v>
          </cell>
          <cell r="AI61">
            <v>-1636.02472830701</v>
          </cell>
          <cell r="AJ61">
            <v>-1013.90838707787</v>
          </cell>
          <cell r="AK61">
            <v>-818.46504724480303</v>
          </cell>
          <cell r="AL61">
            <v>1714.9284571531259</v>
          </cell>
          <cell r="AP61">
            <v>0</v>
          </cell>
          <cell r="AT61">
            <v>0</v>
          </cell>
          <cell r="AX61">
            <v>0</v>
          </cell>
          <cell r="AZ61">
            <v>-14318.278151029976</v>
          </cell>
          <cell r="BA61">
            <v>-8930.5260314801271</v>
          </cell>
          <cell r="BB61">
            <v>-6940.3639763525316</v>
          </cell>
          <cell r="BC61">
            <v>-9155.1349755377087</v>
          </cell>
          <cell r="BE61">
            <v>-4868.2190799992295</v>
          </cell>
          <cell r="BF61">
            <v>-4530.0378191571981</v>
          </cell>
          <cell r="BG61">
            <v>-3431.6430387934879</v>
          </cell>
          <cell r="BH61">
            <v>-2188.414707105188</v>
          </cell>
          <cell r="BI61">
            <v>-4801.4477855027017</v>
          </cell>
          <cell r="BJ61">
            <v>-2354.6206814284924</v>
          </cell>
          <cell r="BK61">
            <v>-1292.0009473739156</v>
          </cell>
          <cell r="BL61">
            <v>-5469.3975286693312</v>
          </cell>
          <cell r="BM61">
            <v>-4648.6112855280435</v>
          </cell>
          <cell r="BN61">
            <v>-2045.8675308944357</v>
          </cell>
          <cell r="BO61">
            <v>-2216.7199901851291</v>
          </cell>
          <cell r="BP61">
            <v>-1497.3227397631883</v>
          </cell>
        </row>
        <row r="62">
          <cell r="D62">
            <v>-887895.49577580625</v>
          </cell>
          <cell r="E62">
            <v>-429599.8407877041</v>
          </cell>
          <cell r="F62">
            <v>-681319.9671252846</v>
          </cell>
          <cell r="G62">
            <v>-825841.84799530904</v>
          </cell>
          <cell r="H62">
            <v>-784380.5843374657</v>
          </cell>
          <cell r="I62">
            <v>-424357.92701263598</v>
          </cell>
          <cell r="J62">
            <v>-669242.07460139692</v>
          </cell>
          <cell r="K62">
            <v>-779759.97701664944</v>
          </cell>
          <cell r="L62">
            <v>-584103.75483017555</v>
          </cell>
          <cell r="M62">
            <v>-414939.39493024419</v>
          </cell>
          <cell r="N62">
            <v>-746622.9193595734</v>
          </cell>
          <cell r="O62">
            <v>-788941.3666124146</v>
          </cell>
          <cell r="P62">
            <v>-322496.46713604417</v>
          </cell>
          <cell r="Q62">
            <v>-379832.12224645127</v>
          </cell>
          <cell r="R62">
            <v>-808498.39351718081</v>
          </cell>
          <cell r="S62">
            <v>-801418.31009112077</v>
          </cell>
          <cell r="T62">
            <v>-338812.93079531123</v>
          </cell>
          <cell r="U62">
            <v>-401070.53921076376</v>
          </cell>
          <cell r="V62">
            <v>-812507.09879561851</v>
          </cell>
          <cell r="W62">
            <v>-739404.24035081896</v>
          </cell>
          <cell r="X62">
            <v>-605388.3735973154</v>
          </cell>
          <cell r="Y62">
            <v>-465548.69027357991</v>
          </cell>
          <cell r="Z62">
            <v>-791070.26261044678</v>
          </cell>
          <cell r="AA62">
            <v>-878075.24469743879</v>
          </cell>
          <cell r="AB62">
            <v>-323561.7636612496</v>
          </cell>
          <cell r="AC62">
            <v>-533091.77855933073</v>
          </cell>
          <cell r="AD62">
            <v>-868807.54004830285</v>
          </cell>
          <cell r="AE62">
            <v>-748392.06015889358</v>
          </cell>
          <cell r="AF62">
            <v>-342749.73615616723</v>
          </cell>
          <cell r="AG62">
            <v>-713781.49826116569</v>
          </cell>
          <cell r="AH62">
            <v>-861599.33672022063</v>
          </cell>
          <cell r="AI62">
            <v>-769744.2252002887</v>
          </cell>
          <cell r="AJ62">
            <v>-411279.98049539397</v>
          </cell>
          <cell r="AK62">
            <v>-545974.76408090768</v>
          </cell>
          <cell r="AL62">
            <v>-793888.65669029311</v>
          </cell>
          <cell r="AP62">
            <v>0</v>
          </cell>
          <cell r="AT62">
            <v>0</v>
          </cell>
          <cell r="AX62">
            <v>0</v>
          </cell>
          <cell r="AZ62">
            <v>-7169120.8756407006</v>
          </cell>
          <cell r="BA62">
            <v>-4600670.086784929</v>
          </cell>
          <cell r="BB62">
            <v>-4308196.5553627834</v>
          </cell>
          <cell r="BC62">
            <v>-7033556.2494683182</v>
          </cell>
          <cell r="BE62">
            <v>-2443145.4285297249</v>
          </cell>
          <cell r="BF62">
            <v>-2256382.8349434473</v>
          </cell>
          <cell r="BG62">
            <v>-1268897.1627305844</v>
          </cell>
          <cell r="BH62">
            <v>-2097184.9610862546</v>
          </cell>
          <cell r="BI62">
            <v>-2329762.9170543542</v>
          </cell>
          <cell r="BJ62">
            <v>-1266694.7715286708</v>
          </cell>
          <cell r="BK62">
            <v>-1246453.3517307949</v>
          </cell>
          <cell r="BL62">
            <v>-2412075.7549232459</v>
          </cell>
          <cell r="BM62">
            <v>-2396212.5300566214</v>
          </cell>
          <cell r="BN62">
            <v>-1077592.4803128107</v>
          </cell>
          <cell r="BO62">
            <v>-1792846.0409014039</v>
          </cell>
          <cell r="BP62">
            <v>-2524295.5334588164</v>
          </cell>
        </row>
        <row r="64">
          <cell r="D64">
            <v>89563.118925807066</v>
          </cell>
          <cell r="E64">
            <v>-79550.178870850592</v>
          </cell>
          <cell r="F64">
            <v>-15944.352850818192</v>
          </cell>
          <cell r="G64">
            <v>-32916.950300602824</v>
          </cell>
          <cell r="H64">
            <v>16859.799445656128</v>
          </cell>
          <cell r="I64">
            <v>-146745.48776556179</v>
          </cell>
          <cell r="J64">
            <v>-73954.211807107902</v>
          </cell>
          <cell r="K64">
            <v>24441.650991132483</v>
          </cell>
          <cell r="L64">
            <v>-10477.263202415314</v>
          </cell>
          <cell r="M64">
            <v>-129437.32049819687</v>
          </cell>
          <cell r="N64">
            <v>-48255.658484142623</v>
          </cell>
          <cell r="O64">
            <v>-41927.960405997466</v>
          </cell>
          <cell r="P64">
            <v>-139156.13041246269</v>
          </cell>
          <cell r="Q64">
            <v>-123579.36753801425</v>
          </cell>
          <cell r="R64">
            <v>-77325.87666250905</v>
          </cell>
          <cell r="S64">
            <v>-19212.753157315776</v>
          </cell>
          <cell r="T64">
            <v>-72879.26963148138</v>
          </cell>
          <cell r="U64">
            <v>-81538.738472525787</v>
          </cell>
          <cell r="V64">
            <v>-74396.652144407155</v>
          </cell>
          <cell r="W64">
            <v>101332.20580056577</v>
          </cell>
          <cell r="X64">
            <v>-482777.33755278564</v>
          </cell>
          <cell r="Y64">
            <v>-152628.8574442768</v>
          </cell>
          <cell r="Z64">
            <v>-34266.643824203289</v>
          </cell>
          <cell r="AA64">
            <v>107530.10257450666</v>
          </cell>
          <cell r="AB64">
            <v>-161489.91304702582</v>
          </cell>
          <cell r="AC64">
            <v>-119411.31967193994</v>
          </cell>
          <cell r="AD64">
            <v>27322.232981721638</v>
          </cell>
          <cell r="AE64">
            <v>45483.08152624697</v>
          </cell>
          <cell r="AF64">
            <v>-141707.46507848325</v>
          </cell>
          <cell r="AG64">
            <v>-297890.63270474406</v>
          </cell>
          <cell r="AH64">
            <v>-22982.412690761266</v>
          </cell>
          <cell r="AI64">
            <v>115875.29849827965</v>
          </cell>
          <cell r="AJ64">
            <v>-261463.4478169264</v>
          </cell>
          <cell r="AK64">
            <v>-61925.325932256994</v>
          </cell>
          <cell r="AL64">
            <v>58783.607768933172</v>
          </cell>
          <cell r="AP64">
            <v>0</v>
          </cell>
          <cell r="AT64">
            <v>0</v>
          </cell>
          <cell r="AX64">
            <v>0</v>
          </cell>
          <cell r="AZ64">
            <v>391202.93939331546</v>
          </cell>
          <cell r="BA64">
            <v>-1163527.9083701167</v>
          </cell>
          <cell r="BB64">
            <v>-1192708.2288983669</v>
          </cell>
          <cell r="BC64">
            <v>-261019.96771329548</v>
          </cell>
          <cell r="BE64">
            <v>82122.964557030238</v>
          </cell>
          <cell r="BF64">
            <v>95942.655169048347</v>
          </cell>
          <cell r="BG64">
            <v>-355733.98713460937</v>
          </cell>
          <cell r="BH64">
            <v>-138154.22314206813</v>
          </cell>
          <cell r="BI64">
            <v>40192.492237252649</v>
          </cell>
          <cell r="BJ64">
            <v>-694810.73759672965</v>
          </cell>
          <cell r="BK64">
            <v>-357748.96345481626</v>
          </cell>
          <cell r="BL64">
            <v>-185989.17263111938</v>
          </cell>
          <cell r="BM64">
            <v>268887.48259903351</v>
          </cell>
          <cell r="BN64">
            <v>-564659.82594243542</v>
          </cell>
          <cell r="BO64">
            <v>-479225.27830894082</v>
          </cell>
          <cell r="BP64">
            <v>63123.42805989366</v>
          </cell>
        </row>
        <row r="66">
          <cell r="D66">
            <v>-10398.635737542274</v>
          </cell>
          <cell r="E66">
            <v>-54264.105873767257</v>
          </cell>
          <cell r="F66">
            <v>-101686.88216936677</v>
          </cell>
          <cell r="G66">
            <v>-78870.659267106763</v>
          </cell>
          <cell r="H66">
            <v>-27604.481180174149</v>
          </cell>
          <cell r="I66">
            <v>-86854.261615662574</v>
          </cell>
          <cell r="J66">
            <v>-84547.678867161318</v>
          </cell>
          <cell r="K66">
            <v>-75299.292083390683</v>
          </cell>
          <cell r="L66">
            <v>-1978763.0363582931</v>
          </cell>
          <cell r="M66">
            <v>-153748.0483211503</v>
          </cell>
          <cell r="N66">
            <v>-67771.137543850404</v>
          </cell>
          <cell r="O66">
            <v>-46156.117202310823</v>
          </cell>
          <cell r="P66">
            <v>-45085.382202572262</v>
          </cell>
          <cell r="Q66">
            <v>-51513.552323949079</v>
          </cell>
          <cell r="R66">
            <v>-65733.213154627054</v>
          </cell>
          <cell r="S66">
            <v>-28184.255038553099</v>
          </cell>
          <cell r="T66">
            <v>-20209.082106365913</v>
          </cell>
          <cell r="U66">
            <v>-89187.296608878634</v>
          </cell>
          <cell r="V66">
            <v>-176546.72747546065</v>
          </cell>
          <cell r="W66">
            <v>-33048.228204699015</v>
          </cell>
          <cell r="X66">
            <v>-491186.93522001599</v>
          </cell>
          <cell r="Y66">
            <v>-629217.68682504806</v>
          </cell>
          <cell r="Z66">
            <v>-94044.235054067627</v>
          </cell>
          <cell r="AA66">
            <v>-7627.0355483487074</v>
          </cell>
          <cell r="AB66">
            <v>-56302.174461326947</v>
          </cell>
          <cell r="AC66">
            <v>-69558.169027797543</v>
          </cell>
          <cell r="AD66">
            <v>-139823.40155058802</v>
          </cell>
          <cell r="AE66">
            <v>-125327.87654892483</v>
          </cell>
          <cell r="AF66">
            <v>-40378.264925759569</v>
          </cell>
          <cell r="AG66">
            <v>-204413.5069643351</v>
          </cell>
          <cell r="AH66">
            <v>-209783.68835120866</v>
          </cell>
          <cell r="AI66">
            <v>-81113.41060154936</v>
          </cell>
          <cell r="AJ66">
            <v>-53560.913270519901</v>
          </cell>
          <cell r="AK66">
            <v>-31946.445476188193</v>
          </cell>
          <cell r="AL66">
            <v>-89255.440826975653</v>
          </cell>
          <cell r="AP66">
            <v>0</v>
          </cell>
          <cell r="AT66">
            <v>0</v>
          </cell>
          <cell r="AX66">
            <v>0</v>
          </cell>
          <cell r="AZ66">
            <v>-447136.62797564926</v>
          </cell>
          <cell r="BA66">
            <v>-2723488.9054625705</v>
          </cell>
          <cell r="BB66">
            <v>-1370703.0730367766</v>
          </cell>
          <cell r="BC66">
            <v>-1029192.4049933061</v>
          </cell>
          <cell r="BE66">
            <v>-125679.70483126334</v>
          </cell>
          <cell r="BF66">
            <v>-2016766.1532760097</v>
          </cell>
          <cell r="BG66">
            <v>-294866.41581058013</v>
          </cell>
          <cell r="BH66">
            <v>-254005.69858037849</v>
          </cell>
          <cell r="BI66">
            <v>-107388.60044556294</v>
          </cell>
          <cell r="BJ66">
            <v>-556481.39952895418</v>
          </cell>
          <cell r="BK66">
            <v>-769918.53575787577</v>
          </cell>
          <cell r="BL66">
            <v>-336324.17568415531</v>
          </cell>
          <cell r="BM66">
            <v>-214068.32269882289</v>
          </cell>
          <cell r="BN66">
            <v>-150241.35265760642</v>
          </cell>
          <cell r="BO66">
            <v>-305918.12146832084</v>
          </cell>
          <cell r="BP66">
            <v>-438862.53072877228</v>
          </cell>
        </row>
        <row r="67">
          <cell r="D67">
            <v>733.528834671308</v>
          </cell>
          <cell r="E67">
            <v>2302.82069240901</v>
          </cell>
          <cell r="F67">
            <v>1327.9204820027401</v>
          </cell>
          <cell r="G67">
            <v>1750.7592127529201</v>
          </cell>
          <cell r="H67">
            <v>787.67019037566604</v>
          </cell>
          <cell r="I67">
            <v>4158.71793708312</v>
          </cell>
          <cell r="J67">
            <v>1120.7264312267901</v>
          </cell>
          <cell r="K67">
            <v>753.49659136007699</v>
          </cell>
          <cell r="L67">
            <v>5567.5182197645499</v>
          </cell>
          <cell r="M67">
            <v>1007.65503304381</v>
          </cell>
          <cell r="N67">
            <v>2114.4484802237898</v>
          </cell>
          <cell r="O67">
            <v>2740.3267667053101</v>
          </cell>
          <cell r="P67">
            <v>2784.21468288386</v>
          </cell>
          <cell r="Q67">
            <v>1737.58956885111</v>
          </cell>
          <cell r="R67">
            <v>1292.4957483908499</v>
          </cell>
          <cell r="S67">
            <v>1921.9166752065098</v>
          </cell>
          <cell r="T67">
            <v>2116.0393066931701</v>
          </cell>
          <cell r="U67">
            <v>788.00962039711499</v>
          </cell>
          <cell r="V67">
            <v>2187.5713633209402</v>
          </cell>
          <cell r="W67">
            <v>1647.23147390898</v>
          </cell>
          <cell r="X67">
            <v>1051.48088371267</v>
          </cell>
          <cell r="Y67">
            <v>1836.90496821396</v>
          </cell>
          <cell r="Z67">
            <v>2189.8479808760299</v>
          </cell>
          <cell r="AA67">
            <v>1264.15975098576</v>
          </cell>
          <cell r="AB67">
            <v>19147.639439934203</v>
          </cell>
          <cell r="AC67">
            <v>778.74545914047894</v>
          </cell>
          <cell r="AD67">
            <v>2138.35473310818</v>
          </cell>
          <cell r="AE67">
            <v>1513.4515644810299</v>
          </cell>
          <cell r="AF67">
            <v>-1037.5487869439901</v>
          </cell>
          <cell r="AG67">
            <v>1308.37821734166</v>
          </cell>
          <cell r="AH67">
            <v>2556.6380065924</v>
          </cell>
          <cell r="AI67">
            <v>1285.7043205033899</v>
          </cell>
          <cell r="AJ67">
            <v>10987.1371047505</v>
          </cell>
          <cell r="AK67">
            <v>932.15140197696496</v>
          </cell>
          <cell r="AL67">
            <v>19567.525121443701</v>
          </cell>
          <cell r="AP67">
            <v>0</v>
          </cell>
          <cell r="AT67">
            <v>0</v>
          </cell>
          <cell r="AX67">
            <v>0</v>
          </cell>
          <cell r="AZ67">
            <v>16262.822079260795</v>
          </cell>
          <cell r="BA67">
            <v>42137.679875841939</v>
          </cell>
          <cell r="BB67">
            <v>14850.972898457228</v>
          </cell>
          <cell r="BC67">
            <v>34495.52834718542</v>
          </cell>
          <cell r="BE67">
            <v>5890.0315274698169</v>
          </cell>
          <cell r="BF67">
            <v>7088.7172448115234</v>
          </cell>
          <cell r="BG67">
            <v>7469.1936625359403</v>
          </cell>
          <cell r="BH67">
            <v>4563.09539345332</v>
          </cell>
          <cell r="BI67">
            <v>6309.4749158207997</v>
          </cell>
          <cell r="BJ67">
            <v>5951.7348732896999</v>
          </cell>
          <cell r="BK67">
            <v>4362.5041574621855</v>
          </cell>
          <cell r="BL67">
            <v>5669.9150925878203</v>
          </cell>
          <cell r="BM67">
            <v>4063.3156359701798</v>
          </cell>
          <cell r="BN67">
            <v>29097.227757740715</v>
          </cell>
          <cell r="BO67">
            <v>3019.2750784591035</v>
          </cell>
          <cell r="BP67">
            <v>24262.517861144283</v>
          </cell>
        </row>
        <row r="68">
          <cell r="D68">
            <v>-44391.880688675701</v>
          </cell>
          <cell r="E68">
            <v>-57647.825123710994</v>
          </cell>
          <cell r="F68">
            <v>-82508.112662379805</v>
          </cell>
          <cell r="G68">
            <v>-33230.048925032701</v>
          </cell>
          <cell r="H68">
            <v>-40232.187411701598</v>
          </cell>
          <cell r="I68">
            <v>-52748.780236082202</v>
          </cell>
          <cell r="J68">
            <v>-76781.663136335192</v>
          </cell>
          <cell r="K68">
            <v>-80317.546090094707</v>
          </cell>
          <cell r="L68">
            <v>-42729.513779515</v>
          </cell>
          <cell r="M68">
            <v>-83250.423537766095</v>
          </cell>
          <cell r="N68">
            <v>-100109.07431712101</v>
          </cell>
          <cell r="O68">
            <v>-48733.448277673902</v>
          </cell>
          <cell r="P68">
            <v>-42507.250813395403</v>
          </cell>
          <cell r="Q68">
            <v>-62535.762174698801</v>
          </cell>
          <cell r="R68">
            <v>-69135.199464878795</v>
          </cell>
          <cell r="S68">
            <v>-46332.042402184699</v>
          </cell>
          <cell r="T68">
            <v>-39098.110023044799</v>
          </cell>
          <cell r="U68">
            <v>-58564.064167321601</v>
          </cell>
          <cell r="V68">
            <v>-78724.436968024398</v>
          </cell>
          <cell r="W68">
            <v>-46733.430457212999</v>
          </cell>
          <cell r="X68">
            <v>-47189.957338444801</v>
          </cell>
          <cell r="Y68">
            <v>-67779.778325331805</v>
          </cell>
          <cell r="Z68">
            <v>-58561.879850134996</v>
          </cell>
          <cell r="AA68">
            <v>-49225.820156350601</v>
          </cell>
          <cell r="AB68">
            <v>-36219.2361398832</v>
          </cell>
          <cell r="AC68">
            <v>-64133.892009755204</v>
          </cell>
          <cell r="AD68">
            <v>-82660.844037022805</v>
          </cell>
          <cell r="AE68">
            <v>-50336.785746593298</v>
          </cell>
          <cell r="AF68">
            <v>-32466.859970514801</v>
          </cell>
          <cell r="AG68">
            <v>-71311.789510105096</v>
          </cell>
          <cell r="AH68">
            <v>-79870.093507999787</v>
          </cell>
          <cell r="AI68">
            <v>-46250.010194747301</v>
          </cell>
          <cell r="AJ68">
            <v>-45819.944270982698</v>
          </cell>
          <cell r="AK68">
            <v>-70684.728048087898</v>
          </cell>
          <cell r="AL68">
            <v>-77100.002430799388</v>
          </cell>
          <cell r="AP68">
            <v>0</v>
          </cell>
          <cell r="AT68">
            <v>0</v>
          </cell>
          <cell r="AX68">
            <v>0</v>
          </cell>
          <cell r="AZ68">
            <v>-426057.91068344977</v>
          </cell>
          <cell r="BA68">
            <v>-370654.94043615798</v>
          </cell>
          <cell r="BB68">
            <v>-588657.04313285963</v>
          </cell>
          <cell r="BC68">
            <v>-705451.3063746962</v>
          </cell>
          <cell r="BE68">
            <v>-138446.37344868691</v>
          </cell>
          <cell r="BF68">
            <v>-127353.5818798923</v>
          </cell>
          <cell r="BG68">
            <v>-193647.0288975593</v>
          </cell>
          <cell r="BH68">
            <v>-259398.85011583602</v>
          </cell>
          <cell r="BI68">
            <v>-141798.92113707159</v>
          </cell>
          <cell r="BJ68">
            <v>-128795.318174885</v>
          </cell>
          <cell r="BK68">
            <v>-188879.60466735222</v>
          </cell>
          <cell r="BL68">
            <v>-206421.51628303819</v>
          </cell>
          <cell r="BM68">
            <v>-145812.61609769121</v>
          </cell>
          <cell r="BN68">
            <v>-114506.04038138071</v>
          </cell>
          <cell r="BO68">
            <v>-206130.4095679482</v>
          </cell>
          <cell r="BP68">
            <v>-239630.93997582197</v>
          </cell>
        </row>
        <row r="69">
          <cell r="D69">
            <v>33259.716116462121</v>
          </cell>
          <cell r="E69">
            <v>1080.8985575347231</v>
          </cell>
          <cell r="F69">
            <v>-20506.689988989703</v>
          </cell>
          <cell r="G69">
            <v>-47391.369554826975</v>
          </cell>
          <cell r="H69">
            <v>11840.03604115178</v>
          </cell>
          <cell r="I69">
            <v>-38264.199316663493</v>
          </cell>
          <cell r="J69">
            <v>-8886.7421620529203</v>
          </cell>
          <cell r="K69">
            <v>4264.7574153439518</v>
          </cell>
          <cell r="L69">
            <v>-1941601.0407985428</v>
          </cell>
          <cell r="M69">
            <v>-71505.27981642801</v>
          </cell>
          <cell r="N69">
            <v>30223.488293046823</v>
          </cell>
          <cell r="O69">
            <v>-162.99569134222887</v>
          </cell>
          <cell r="P69">
            <v>-5362.34607206072</v>
          </cell>
          <cell r="Q69">
            <v>9284.6202818986148</v>
          </cell>
          <cell r="R69">
            <v>2109.4905618608891</v>
          </cell>
          <cell r="S69">
            <v>16225.870688425095</v>
          </cell>
          <cell r="T69">
            <v>16772.988609985714</v>
          </cell>
          <cell r="U69">
            <v>-31411.242061954144</v>
          </cell>
          <cell r="V69">
            <v>-100009.86187075719</v>
          </cell>
          <cell r="W69">
            <v>12037.970778605006</v>
          </cell>
          <cell r="X69">
            <v>-445048.45876528387</v>
          </cell>
          <cell r="Y69">
            <v>-563274.81346793019</v>
          </cell>
          <cell r="Z69">
            <v>-37672.203184808655</v>
          </cell>
          <cell r="AA69">
            <v>40334.624857016133</v>
          </cell>
          <cell r="AB69">
            <v>-39230.57776137795</v>
          </cell>
          <cell r="AC69">
            <v>-6203.0224771828161</v>
          </cell>
          <cell r="AD69">
            <v>-59300.91224667339</v>
          </cell>
          <cell r="AE69">
            <v>-76504.542366812559</v>
          </cell>
          <cell r="AF69">
            <v>-6873.8561683007774</v>
          </cell>
          <cell r="AG69">
            <v>-134410.09567157167</v>
          </cell>
          <cell r="AH69">
            <v>-132470.23284980128</v>
          </cell>
          <cell r="AI69">
            <v>-36149.10472730545</v>
          </cell>
          <cell r="AJ69">
            <v>-18728.106104287701</v>
          </cell>
          <cell r="AK69">
            <v>37806.131169922737</v>
          </cell>
          <cell r="AL69">
            <v>-31722.963517619974</v>
          </cell>
          <cell r="AP69">
            <v>0</v>
          </cell>
          <cell r="AT69">
            <v>0</v>
          </cell>
          <cell r="AX69">
            <v>0</v>
          </cell>
          <cell r="AZ69">
            <v>-37341.539371460247</v>
          </cell>
          <cell r="BA69">
            <v>-2394971.6449022545</v>
          </cell>
          <cell r="BB69">
            <v>-796897.00280237419</v>
          </cell>
          <cell r="BC69">
            <v>-358236.62696579541</v>
          </cell>
          <cell r="BE69">
            <v>6876.6370899537606</v>
          </cell>
          <cell r="BF69">
            <v>-1896501.2886409289</v>
          </cell>
          <cell r="BG69">
            <v>-108688.58057555679</v>
          </cell>
          <cell r="BH69">
            <v>830.0561420041995</v>
          </cell>
          <cell r="BI69">
            <v>28100.845775687871</v>
          </cell>
          <cell r="BJ69">
            <v>-433637.81622735888</v>
          </cell>
          <cell r="BK69">
            <v>-585401.43524798576</v>
          </cell>
          <cell r="BL69">
            <v>-135572.57449370495</v>
          </cell>
          <cell r="BM69">
            <v>-72319.022237101875</v>
          </cell>
          <cell r="BN69">
            <v>-64832.540033966434</v>
          </cell>
          <cell r="BO69">
            <v>-102806.98697883176</v>
          </cell>
          <cell r="BP69">
            <v>-223494.10861409464</v>
          </cell>
        </row>
        <row r="71">
          <cell r="D71">
            <v>79164.4831882648</v>
          </cell>
          <cell r="E71">
            <v>-133814.28474461785</v>
          </cell>
          <cell r="F71">
            <v>-117631.23502018496</v>
          </cell>
          <cell r="G71">
            <v>-111787.60956770959</v>
          </cell>
          <cell r="H71">
            <v>-10744.681734518021</v>
          </cell>
          <cell r="I71">
            <v>-233599.74938122436</v>
          </cell>
          <cell r="J71">
            <v>-158501.89067426923</v>
          </cell>
          <cell r="K71">
            <v>-50857.6410922582</v>
          </cell>
          <cell r="L71">
            <v>-1989240.2995607085</v>
          </cell>
          <cell r="M71">
            <v>-283185.36881934718</v>
          </cell>
          <cell r="N71">
            <v>-116026.79602799303</v>
          </cell>
          <cell r="O71">
            <v>-88084.077608308289</v>
          </cell>
          <cell r="P71">
            <v>-184241.51261503494</v>
          </cell>
          <cell r="Q71">
            <v>-175092.91986196334</v>
          </cell>
          <cell r="R71">
            <v>-143059.08981713612</v>
          </cell>
          <cell r="S71">
            <v>-47397.008195868875</v>
          </cell>
          <cell r="T71">
            <v>-93088.35173784729</v>
          </cell>
          <cell r="U71">
            <v>-170726.03508140444</v>
          </cell>
          <cell r="V71">
            <v>-250943.3796198678</v>
          </cell>
          <cell r="W71">
            <v>68283.97759586676</v>
          </cell>
          <cell r="X71">
            <v>-973964.27277280157</v>
          </cell>
          <cell r="Y71">
            <v>-781846.54426932486</v>
          </cell>
          <cell r="Z71">
            <v>-128310.87887827092</v>
          </cell>
          <cell r="AA71">
            <v>99903.067026157951</v>
          </cell>
          <cell r="AB71">
            <v>-217792.08750835276</v>
          </cell>
          <cell r="AC71">
            <v>-188969.48869973747</v>
          </cell>
          <cell r="AD71">
            <v>-112501.16856886639</v>
          </cell>
          <cell r="AE71">
            <v>-79844.795022677863</v>
          </cell>
          <cell r="AF71">
            <v>-182085.73000424283</v>
          </cell>
          <cell r="AG71">
            <v>-502304.13966907916</v>
          </cell>
          <cell r="AH71">
            <v>-232766.10104196993</v>
          </cell>
          <cell r="AI71">
            <v>34761.887896730288</v>
          </cell>
          <cell r="AJ71">
            <v>-315024.36108744633</v>
          </cell>
          <cell r="AK71">
            <v>-93871.771408445187</v>
          </cell>
          <cell r="AL71">
            <v>-30471.833058042481</v>
          </cell>
          <cell r="AP71">
            <v>0</v>
          </cell>
          <cell r="AT71">
            <v>0</v>
          </cell>
          <cell r="AX71">
            <v>0</v>
          </cell>
          <cell r="AZ71">
            <v>-55933.688582333794</v>
          </cell>
          <cell r="BA71">
            <v>-3887016.8138326872</v>
          </cell>
          <cell r="BB71">
            <v>-2563411.3019351438</v>
          </cell>
          <cell r="BC71">
            <v>-1290212.3727066016</v>
          </cell>
          <cell r="BE71">
            <v>-43556.740274233103</v>
          </cell>
          <cell r="BF71">
            <v>-1920823.4981069614</v>
          </cell>
          <cell r="BG71">
            <v>-650600.4029451895</v>
          </cell>
          <cell r="BH71">
            <v>-392159.92172244663</v>
          </cell>
          <cell r="BI71">
            <v>-67196.108208310296</v>
          </cell>
          <cell r="BJ71">
            <v>-1251292.1371256839</v>
          </cell>
          <cell r="BK71">
            <v>-1127667.499212692</v>
          </cell>
          <cell r="BL71">
            <v>-522313.34831527469</v>
          </cell>
          <cell r="BM71">
            <v>54819.159900210623</v>
          </cell>
          <cell r="BN71">
            <v>-714901.17860004189</v>
          </cell>
          <cell r="BO71">
            <v>-785143.39977726166</v>
          </cell>
          <cell r="BP71">
            <v>-375739.10266887862</v>
          </cell>
        </row>
        <row r="73">
          <cell r="D73">
            <v>-207.21161227704403</v>
          </cell>
          <cell r="E73">
            <v>854.20687835478896</v>
          </cell>
          <cell r="F73">
            <v>-456.97325350042502</v>
          </cell>
          <cell r="G73">
            <v>-1429.4434695985599</v>
          </cell>
          <cell r="H73">
            <v>-1949.2243443264399</v>
          </cell>
          <cell r="I73">
            <v>1030.4393162834001</v>
          </cell>
          <cell r="J73">
            <v>1369.4873207599701</v>
          </cell>
          <cell r="K73">
            <v>1528.7072499929302</v>
          </cell>
          <cell r="L73">
            <v>5414.0325351297697</v>
          </cell>
          <cell r="M73">
            <v>919.63701296526403</v>
          </cell>
          <cell r="N73">
            <v>277.69017114866</v>
          </cell>
          <cell r="O73">
            <v>1713.64786340663</v>
          </cell>
          <cell r="P73">
            <v>4073.22372068718</v>
          </cell>
          <cell r="Q73">
            <v>510.83802869406497</v>
          </cell>
          <cell r="R73">
            <v>-75.0271555315298</v>
          </cell>
          <cell r="S73">
            <v>-2135.4197351333901</v>
          </cell>
          <cell r="T73">
            <v>33.388070368817701</v>
          </cell>
          <cell r="U73">
            <v>620.07514334265704</v>
          </cell>
          <cell r="V73">
            <v>1159.3660979746501</v>
          </cell>
          <cell r="W73">
            <v>1033.5572697945199</v>
          </cell>
          <cell r="X73">
            <v>-302.44480564475799</v>
          </cell>
          <cell r="Y73">
            <v>1509.13773039647</v>
          </cell>
          <cell r="Z73">
            <v>-6.9492627837821903</v>
          </cell>
          <cell r="AA73">
            <v>-849.45239332121594</v>
          </cell>
          <cell r="AB73">
            <v>757.71701799255095</v>
          </cell>
          <cell r="AC73">
            <v>913.44792215420705</v>
          </cell>
          <cell r="AD73">
            <v>1208.66064794051</v>
          </cell>
          <cell r="AE73">
            <v>195.88340916852999</v>
          </cell>
          <cell r="AF73">
            <v>-173.712761727631</v>
          </cell>
          <cell r="AG73">
            <v>451.56652862933799</v>
          </cell>
          <cell r="AH73">
            <v>-548.22616512744503</v>
          </cell>
          <cell r="AI73">
            <v>-104.601058173618</v>
          </cell>
          <cell r="AJ73">
            <v>176.56582547414899</v>
          </cell>
          <cell r="AK73">
            <v>912.29156072249407</v>
          </cell>
          <cell r="AL73">
            <v>-141.52897242548102</v>
          </cell>
          <cell r="AP73">
            <v>0</v>
          </cell>
          <cell r="AT73">
            <v>0</v>
          </cell>
          <cell r="AX73">
            <v>0</v>
          </cell>
          <cell r="AZ73">
            <v>-3623.0292029115139</v>
          </cell>
          <cell r="BA73">
            <v>7822.3336456765937</v>
          </cell>
          <cell r="BB73">
            <v>7721.640121542684</v>
          </cell>
          <cell r="BC73">
            <v>2786.4994284551276</v>
          </cell>
          <cell r="BE73">
            <v>-3476.6445586529699</v>
          </cell>
          <cell r="BF73">
            <v>3257.5965785262856</v>
          </cell>
          <cell r="BG73">
            <v>2804.2832076034533</v>
          </cell>
          <cell r="BH73">
            <v>1190.2042384082051</v>
          </cell>
          <cell r="BI73">
            <v>611.78539806775984</v>
          </cell>
          <cell r="BJ73">
            <v>3804.1669854112397</v>
          </cell>
          <cell r="BK73">
            <v>2640.0509024331923</v>
          </cell>
          <cell r="BL73">
            <v>1077.3896796593381</v>
          </cell>
          <cell r="BM73">
            <v>-758.17004232630393</v>
          </cell>
          <cell r="BN73">
            <v>760.57008173906888</v>
          </cell>
          <cell r="BO73">
            <v>2277.3060115060389</v>
          </cell>
          <cell r="BP73">
            <v>518.90551038758394</v>
          </cell>
        </row>
        <row r="75">
          <cell r="D75">
            <v>78957.271575987761</v>
          </cell>
          <cell r="E75">
            <v>-132960.07786626305</v>
          </cell>
          <cell r="F75">
            <v>-118088.20827368539</v>
          </cell>
          <cell r="G75">
            <v>-113217.05303730814</v>
          </cell>
          <cell r="H75">
            <v>-12693.90607884446</v>
          </cell>
          <cell r="I75">
            <v>-232569.31006494098</v>
          </cell>
          <cell r="J75">
            <v>-157132.40335350926</v>
          </cell>
          <cell r="K75">
            <v>-49328.933842265273</v>
          </cell>
          <cell r="L75">
            <v>-1983826.2670255788</v>
          </cell>
          <cell r="M75">
            <v>-282265.7318063819</v>
          </cell>
          <cell r="N75">
            <v>-115749.10585684437</v>
          </cell>
          <cell r="O75">
            <v>-86370.429744901659</v>
          </cell>
          <cell r="P75">
            <v>-180168.28889434776</v>
          </cell>
          <cell r="Q75">
            <v>-174582.08183326927</v>
          </cell>
          <cell r="R75">
            <v>-143134.11697266766</v>
          </cell>
          <cell r="S75">
            <v>-49532.427931002268</v>
          </cell>
          <cell r="T75">
            <v>-93054.963667478471</v>
          </cell>
          <cell r="U75">
            <v>-170105.95993806177</v>
          </cell>
          <cell r="V75">
            <v>-249784.01352189315</v>
          </cell>
          <cell r="W75">
            <v>69317.534865661277</v>
          </cell>
          <cell r="X75">
            <v>-974266.71757844638</v>
          </cell>
          <cell r="Y75">
            <v>-780337.40653892839</v>
          </cell>
          <cell r="Z75">
            <v>-128317.82814105469</v>
          </cell>
          <cell r="AA75">
            <v>99053.614632836732</v>
          </cell>
          <cell r="AB75">
            <v>-217034.37049036022</v>
          </cell>
          <cell r="AC75">
            <v>-188056.04077758326</v>
          </cell>
          <cell r="AD75">
            <v>-111292.50792092587</v>
          </cell>
          <cell r="AE75">
            <v>-79648.911613509335</v>
          </cell>
          <cell r="AF75">
            <v>-182259.44276597045</v>
          </cell>
          <cell r="AG75">
            <v>-501852.57314044982</v>
          </cell>
          <cell r="AH75">
            <v>-233314.32720709738</v>
          </cell>
          <cell r="AI75">
            <v>34657.286838556669</v>
          </cell>
          <cell r="AJ75">
            <v>-314847.79526197218</v>
          </cell>
          <cell r="AK75">
            <v>-92959.479847722687</v>
          </cell>
          <cell r="AL75">
            <v>-30613.362030467961</v>
          </cell>
          <cell r="AP75">
            <v>0</v>
          </cell>
          <cell r="AT75">
            <v>0</v>
          </cell>
          <cell r="AX75">
            <v>0</v>
          </cell>
          <cell r="AZ75">
            <v>-59556.71778524531</v>
          </cell>
          <cell r="BA75">
            <v>-3879194.4801870105</v>
          </cell>
          <cell r="BB75">
            <v>-2555689.6618136009</v>
          </cell>
          <cell r="BC75">
            <v>-1287425.8732781466</v>
          </cell>
          <cell r="BE75">
            <v>-47033.384832886077</v>
          </cell>
          <cell r="BF75">
            <v>-1917565.9015284351</v>
          </cell>
          <cell r="BG75">
            <v>-647796.11973758601</v>
          </cell>
          <cell r="BH75">
            <v>-390969.71748403844</v>
          </cell>
          <cell r="BI75">
            <v>-66584.322810242535</v>
          </cell>
          <cell r="BJ75">
            <v>-1247487.9701402728</v>
          </cell>
          <cell r="BK75">
            <v>-1125027.4483102588</v>
          </cell>
          <cell r="BL75">
            <v>-521235.95863561536</v>
          </cell>
          <cell r="BM75">
            <v>54060.98985788432</v>
          </cell>
          <cell r="BN75">
            <v>-714140.60851830279</v>
          </cell>
          <cell r="BO75">
            <v>-782866.09376575565</v>
          </cell>
          <cell r="BP75">
            <v>-375220.19715849106</v>
          </cell>
        </row>
        <row r="77">
          <cell r="D77">
            <v>-25718.921665641697</v>
          </cell>
          <cell r="E77">
            <v>21456.576963634201</v>
          </cell>
          <cell r="F77">
            <v>8026.7285150650996</v>
          </cell>
          <cell r="G77">
            <v>21860.065909581299</v>
          </cell>
          <cell r="H77">
            <v>5369.6832649387397</v>
          </cell>
          <cell r="I77">
            <v>146134.309127318</v>
          </cell>
          <cell r="J77">
            <v>3228.4573272119501</v>
          </cell>
          <cell r="K77">
            <v>-14536.624449474901</v>
          </cell>
          <cell r="L77">
            <v>-182327.13430120001</v>
          </cell>
          <cell r="M77">
            <v>49338.501853909002</v>
          </cell>
          <cell r="N77">
            <v>-359.98982751179597</v>
          </cell>
          <cell r="O77">
            <v>8963.4341604189103</v>
          </cell>
          <cell r="P77">
            <v>44510.2625809643</v>
          </cell>
          <cell r="Q77">
            <v>40168.070031445299</v>
          </cell>
          <cell r="R77">
            <v>-6992.8652988417398</v>
          </cell>
          <cell r="S77">
            <v>9357.4786489514809</v>
          </cell>
          <cell r="T77">
            <v>9571.5178362211009</v>
          </cell>
          <cell r="U77">
            <v>31900.141834867398</v>
          </cell>
          <cell r="V77">
            <v>3300.0773277716198</v>
          </cell>
          <cell r="W77">
            <v>-14555.130655290701</v>
          </cell>
          <cell r="X77">
            <v>303362.15089841402</v>
          </cell>
          <cell r="Y77">
            <v>283320.44041147601</v>
          </cell>
          <cell r="Z77">
            <v>1730.4195490933998</v>
          </cell>
          <cell r="AA77">
            <v>19865.403740973303</v>
          </cell>
          <cell r="AB77">
            <v>42487.810735702595</v>
          </cell>
          <cell r="AC77">
            <v>37422.185872218499</v>
          </cell>
          <cell r="AD77">
            <v>7263.6741459048499</v>
          </cell>
          <cell r="AE77">
            <v>16787.203975881199</v>
          </cell>
          <cell r="AF77">
            <v>42321.655234870901</v>
          </cell>
          <cell r="AG77">
            <v>52220.912634843204</v>
          </cell>
          <cell r="AH77">
            <v>32250.711978093601</v>
          </cell>
          <cell r="AI77">
            <v>-4451.4355106800504</v>
          </cell>
          <cell r="AJ77">
            <v>56206.157354971103</v>
          </cell>
          <cell r="AK77">
            <v>1350.9125055146599</v>
          </cell>
          <cell r="AL77">
            <v>39737.298242094803</v>
          </cell>
          <cell r="AP77">
            <v>0</v>
          </cell>
          <cell r="AT77">
            <v>0</v>
          </cell>
          <cell r="AX77">
            <v>0</v>
          </cell>
          <cell r="AZ77">
            <v>22926.546278908339</v>
          </cell>
          <cell r="BA77">
            <v>295783.18193924113</v>
          </cell>
          <cell r="BB77">
            <v>663312.05123522622</v>
          </cell>
          <cell r="BC77">
            <v>88184.511958881776</v>
          </cell>
          <cell r="BE77">
            <v>-13040.408081345802</v>
          </cell>
          <cell r="BF77">
            <v>-202676.37270190296</v>
          </cell>
          <cell r="BG77">
            <v>216929.3879448612</v>
          </cell>
          <cell r="BH77">
            <v>10895.196014765253</v>
          </cell>
          <cell r="BI77">
            <v>3765.7821540796904</v>
          </cell>
          <cell r="BJ77">
            <v>357443.93131559942</v>
          </cell>
          <cell r="BK77">
            <v>355388.65227778873</v>
          </cell>
          <cell r="BL77">
            <v>-1962.3684219767201</v>
          </cell>
          <cell r="BM77">
            <v>32201.172206174451</v>
          </cell>
          <cell r="BN77">
            <v>141015.62332554458</v>
          </cell>
          <cell r="BO77">
            <v>90994.01101257636</v>
          </cell>
          <cell r="BP77">
            <v>79251.68436609325</v>
          </cell>
        </row>
        <row r="79">
          <cell r="D79">
            <v>53238.349910346064</v>
          </cell>
          <cell r="E79">
            <v>-111503.50090262885</v>
          </cell>
          <cell r="F79">
            <v>-110061.47975862029</v>
          </cell>
          <cell r="G79">
            <v>-91356.987127726839</v>
          </cell>
          <cell r="H79">
            <v>-7324.2228139057206</v>
          </cell>
          <cell r="I79">
            <v>-86435.000937622972</v>
          </cell>
          <cell r="J79">
            <v>-153903.94602629732</v>
          </cell>
          <cell r="K79">
            <v>-63865.55829174017</v>
          </cell>
          <cell r="L79">
            <v>-2166153.4013267788</v>
          </cell>
          <cell r="M79">
            <v>-232927.2299524729</v>
          </cell>
          <cell r="N79">
            <v>-116109.09568435617</v>
          </cell>
          <cell r="O79">
            <v>-77407.995584482749</v>
          </cell>
          <cell r="P79">
            <v>-135658.02631338345</v>
          </cell>
          <cell r="Q79">
            <v>-134414.01180182397</v>
          </cell>
          <cell r="R79">
            <v>-150126.98227150939</v>
          </cell>
          <cell r="S79">
            <v>-40174.949282050788</v>
          </cell>
          <cell r="T79">
            <v>-83484.44583125737</v>
          </cell>
          <cell r="U79">
            <v>-138205.81810319438</v>
          </cell>
          <cell r="V79">
            <v>-246483.93619412155</v>
          </cell>
          <cell r="W79">
            <v>54763.404210370572</v>
          </cell>
          <cell r="X79">
            <v>-670904.56668003229</v>
          </cell>
          <cell r="Y79">
            <v>-497016.96612745238</v>
          </cell>
          <cell r="Z79">
            <v>-126587.40859196128</v>
          </cell>
          <cell r="AA79">
            <v>118919.01837381003</v>
          </cell>
          <cell r="AB79">
            <v>-174546.55975465762</v>
          </cell>
          <cell r="AC79">
            <v>-150633.85490536474</v>
          </cell>
          <cell r="AD79">
            <v>-104028.83377502102</v>
          </cell>
          <cell r="AE79">
            <v>-62861.707637628133</v>
          </cell>
          <cell r="AF79">
            <v>-139937.78753109954</v>
          </cell>
          <cell r="AG79">
            <v>-449631.66050560662</v>
          </cell>
          <cell r="AH79">
            <v>-201063.61522900377</v>
          </cell>
          <cell r="AI79">
            <v>30205.851327876619</v>
          </cell>
          <cell r="AJ79">
            <v>-258640.63790700107</v>
          </cell>
          <cell r="AK79">
            <v>-91608.567342208029</v>
          </cell>
          <cell r="AL79">
            <v>9123.9362116268421</v>
          </cell>
          <cell r="AP79">
            <v>0</v>
          </cell>
          <cell r="AT79">
            <v>0</v>
          </cell>
          <cell r="AX79">
            <v>0</v>
          </cell>
          <cell r="AZ79">
            <v>-36630.17150633697</v>
          </cell>
          <cell r="BA79">
            <v>-3583411.2982477695</v>
          </cell>
          <cell r="BB79">
            <v>-1892377.6105783747</v>
          </cell>
          <cell r="BC79">
            <v>-1199241.3613192649</v>
          </cell>
          <cell r="BE79">
            <v>-60073.792914231875</v>
          </cell>
          <cell r="BF79">
            <v>-2120242.2742303382</v>
          </cell>
          <cell r="BG79">
            <v>-430866.73179272481</v>
          </cell>
          <cell r="BH79">
            <v>-380074.5214692732</v>
          </cell>
          <cell r="BI79">
            <v>-62818.540656162848</v>
          </cell>
          <cell r="BJ79">
            <v>-890044.03882467328</v>
          </cell>
          <cell r="BK79">
            <v>-769638.79603247007</v>
          </cell>
          <cell r="BL79">
            <v>-523198.32705759211</v>
          </cell>
          <cell r="BM79">
            <v>86262.162064058764</v>
          </cell>
          <cell r="BN79">
            <v>-573124.98519275826</v>
          </cell>
          <cell r="BO79">
            <v>-691872.08275317925</v>
          </cell>
          <cell r="BP79">
            <v>-295968.51279239781</v>
          </cell>
        </row>
        <row r="80">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P80">
            <v>0</v>
          </cell>
          <cell r="AT80">
            <v>0</v>
          </cell>
          <cell r="AX80">
            <v>0</v>
          </cell>
          <cell r="AZ80">
            <v>0</v>
          </cell>
          <cell r="BA80">
            <v>0</v>
          </cell>
          <cell r="BB80">
            <v>0</v>
          </cell>
          <cell r="BC80">
            <v>0</v>
          </cell>
          <cell r="BE80">
            <v>0</v>
          </cell>
          <cell r="BF80">
            <v>0</v>
          </cell>
          <cell r="BG80">
            <v>0</v>
          </cell>
          <cell r="BH80">
            <v>-7.0521723047106272E-2</v>
          </cell>
          <cell r="BI80">
            <v>0</v>
          </cell>
          <cell r="BJ80">
            <v>0</v>
          </cell>
          <cell r="BK80">
            <v>0</v>
          </cell>
          <cell r="BL80">
            <v>0</v>
          </cell>
          <cell r="BM80">
            <v>0</v>
          </cell>
          <cell r="BN80">
            <v>0</v>
          </cell>
          <cell r="BO80">
            <v>0</v>
          </cell>
          <cell r="BP80">
            <v>0</v>
          </cell>
        </row>
        <row r="82">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P82">
            <v>0</v>
          </cell>
          <cell r="AT82">
            <v>0</v>
          </cell>
          <cell r="AX82">
            <v>0</v>
          </cell>
          <cell r="AZ82">
            <v>0</v>
          </cell>
          <cell r="BA82">
            <v>0</v>
          </cell>
          <cell r="BB82">
            <v>0</v>
          </cell>
          <cell r="BC82">
            <v>0</v>
          </cell>
          <cell r="BE82">
            <v>0</v>
          </cell>
          <cell r="BF82">
            <v>0</v>
          </cell>
          <cell r="BG82">
            <v>0</v>
          </cell>
          <cell r="BH82">
            <v>0</v>
          </cell>
          <cell r="BI82">
            <v>0</v>
          </cell>
          <cell r="BJ82">
            <v>0</v>
          </cell>
          <cell r="BK82">
            <v>0</v>
          </cell>
          <cell r="BL82">
            <v>0</v>
          </cell>
          <cell r="BM82">
            <v>0</v>
          </cell>
          <cell r="BN82">
            <v>0</v>
          </cell>
          <cell r="BO82">
            <v>0</v>
          </cell>
          <cell r="BP82">
            <v>0</v>
          </cell>
        </row>
        <row r="83">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P83">
            <v>0</v>
          </cell>
          <cell r="AT83">
            <v>0</v>
          </cell>
          <cell r="AX83">
            <v>0</v>
          </cell>
          <cell r="AZ83">
            <v>0</v>
          </cell>
          <cell r="BA83">
            <v>0</v>
          </cell>
          <cell r="BB83">
            <v>0</v>
          </cell>
          <cell r="BC83">
            <v>0</v>
          </cell>
          <cell r="BE83">
            <v>0</v>
          </cell>
          <cell r="BF83">
            <v>0</v>
          </cell>
          <cell r="BG83">
            <v>0</v>
          </cell>
          <cell r="BH83">
            <v>0</v>
          </cell>
          <cell r="BI83">
            <v>0</v>
          </cell>
          <cell r="BJ83">
            <v>0</v>
          </cell>
          <cell r="BK83">
            <v>0</v>
          </cell>
          <cell r="BL83">
            <v>0</v>
          </cell>
          <cell r="BM83">
            <v>0</v>
          </cell>
          <cell r="BN83">
            <v>0</v>
          </cell>
          <cell r="BO83">
            <v>0</v>
          </cell>
          <cell r="BP83">
            <v>0</v>
          </cell>
        </row>
        <row r="84">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P84">
            <v>0</v>
          </cell>
          <cell r="AT84">
            <v>0</v>
          </cell>
          <cell r="AX84">
            <v>0</v>
          </cell>
        </row>
        <row r="85">
          <cell r="D85">
            <v>1854540.9965515998</v>
          </cell>
          <cell r="E85">
            <v>836135.85666240007</v>
          </cell>
          <cell r="F85">
            <v>1326948.68769</v>
          </cell>
          <cell r="G85">
            <v>1806858.8761975002</v>
          </cell>
          <cell r="H85">
            <v>1699024.9376913046</v>
          </cell>
          <cell r="I85">
            <v>669622.87065299996</v>
          </cell>
          <cell r="J85">
            <v>1167474.435299</v>
          </cell>
          <cell r="K85">
            <v>1895233.2517489993</v>
          </cell>
          <cell r="L85">
            <v>1395330.5848607477</v>
          </cell>
          <cell r="M85">
            <v>683807.661555</v>
          </cell>
          <cell r="N85">
            <v>1225161.9534239999</v>
          </cell>
          <cell r="O85">
            <v>1759406.6017319998</v>
          </cell>
          <cell r="P85">
            <v>365065.41849000001</v>
          </cell>
          <cell r="Q85">
            <v>552391.60360640008</v>
          </cell>
          <cell r="R85">
            <v>1217088.2948966001</v>
          </cell>
          <cell r="S85">
            <v>1595333.8876809999</v>
          </cell>
          <cell r="T85">
            <v>538336.70757959993</v>
          </cell>
          <cell r="U85">
            <v>622498.79999069998</v>
          </cell>
          <cell r="V85">
            <v>1328660.629468</v>
          </cell>
          <cell r="W85">
            <v>1748062.5559481001</v>
          </cell>
          <cell r="X85">
            <v>481434.35401499999</v>
          </cell>
          <cell r="Y85">
            <v>691169.87172900001</v>
          </cell>
          <cell r="Z85">
            <v>1289902.002051</v>
          </cell>
          <cell r="AA85">
            <v>1737060.8347743</v>
          </cell>
          <cell r="AB85">
            <v>470150.94445399998</v>
          </cell>
          <cell r="AC85">
            <v>917583.88060799998</v>
          </cell>
          <cell r="AD85">
            <v>1490927.968813</v>
          </cell>
          <cell r="AE85">
            <v>1525791.967683</v>
          </cell>
          <cell r="AF85">
            <v>546774.35456499993</v>
          </cell>
          <cell r="AG85">
            <v>948850.6248339999</v>
          </cell>
          <cell r="AH85">
            <v>1446791.5482959999</v>
          </cell>
          <cell r="AI85">
            <v>1470609.999169</v>
          </cell>
          <cell r="AJ85">
            <v>475977.98124699999</v>
          </cell>
          <cell r="AK85">
            <v>978950.68727200001</v>
          </cell>
          <cell r="AL85">
            <v>1475939.7852349998</v>
          </cell>
          <cell r="AP85">
            <v>0</v>
          </cell>
          <cell r="AT85">
            <v>0</v>
          </cell>
          <cell r="AX85">
            <v>0</v>
          </cell>
          <cell r="AZ85">
            <v>15310125.527321899</v>
          </cell>
          <cell r="BA85">
            <v>7826636.2794542527</v>
          </cell>
          <cell r="BB85">
            <v>6901011.8569105007</v>
          </cell>
          <cell r="BC85">
            <v>11968895.3051726</v>
          </cell>
          <cell r="BE85">
            <v>5473859.6803344991</v>
          </cell>
          <cell r="BF85">
            <v>4948896.5191036519</v>
          </cell>
          <cell r="BG85">
            <v>2189566.3888703999</v>
          </cell>
          <cell r="BH85">
            <v>3719585.076413</v>
          </cell>
          <cell r="BI85">
            <v>5102803.0453610998</v>
          </cell>
          <cell r="BJ85">
            <v>1384836.4800845999</v>
          </cell>
          <cell r="BK85">
            <v>1866060.2753261002</v>
          </cell>
          <cell r="BL85">
            <v>3835650.9264156003</v>
          </cell>
          <cell r="BM85">
            <v>4733462.8016263004</v>
          </cell>
          <cell r="BN85">
            <v>1492903.280266</v>
          </cell>
          <cell r="BO85">
            <v>2845385.1927140001</v>
          </cell>
          <cell r="BP85">
            <v>4413659.302344</v>
          </cell>
        </row>
        <row r="86">
          <cell r="D86">
            <v>13757747.813000001</v>
          </cell>
          <cell r="E86">
            <v>5475714.8839999996</v>
          </cell>
          <cell r="F86">
            <v>9370895.1459999997</v>
          </cell>
          <cell r="G86">
            <v>12033357.179000001</v>
          </cell>
          <cell r="H86">
            <v>12659663.079</v>
          </cell>
          <cell r="I86">
            <v>4254640.4620000003</v>
          </cell>
          <cell r="J86">
            <v>8062795.1959999995</v>
          </cell>
          <cell r="K86">
            <v>12480747.710999999</v>
          </cell>
          <cell r="L86">
            <v>9047574.3900000006</v>
          </cell>
          <cell r="M86">
            <v>3926325.9219999998</v>
          </cell>
          <cell r="N86">
            <v>8479725.8829999994</v>
          </cell>
          <cell r="O86">
            <v>11506463.931</v>
          </cell>
          <cell r="P86">
            <v>660640.09100000001</v>
          </cell>
          <cell r="Q86">
            <v>2868871.6010000003</v>
          </cell>
          <cell r="R86">
            <v>8197806.4450000003</v>
          </cell>
          <cell r="S86">
            <v>11805332.589</v>
          </cell>
          <cell r="T86">
            <v>787722.85200000007</v>
          </cell>
          <cell r="U86">
            <v>3631644.1570000001</v>
          </cell>
          <cell r="V86">
            <v>8631427.3440000005</v>
          </cell>
          <cell r="W86">
            <v>11523880.138</v>
          </cell>
          <cell r="X86">
            <v>741693.16800000006</v>
          </cell>
          <cell r="Y86">
            <v>4254464.085</v>
          </cell>
          <cell r="Z86">
            <v>8464301.3430000003</v>
          </cell>
          <cell r="AA86">
            <v>13181654.892000001</v>
          </cell>
          <cell r="AB86">
            <v>1213081.9819999998</v>
          </cell>
          <cell r="AC86">
            <v>6007094.7359999996</v>
          </cell>
          <cell r="AD86">
            <v>10506884.725000001</v>
          </cell>
          <cell r="AE86">
            <v>12524742.950999999</v>
          </cell>
          <cell r="AF86">
            <v>1745112.8820000002</v>
          </cell>
          <cell r="AG86">
            <v>6224358.2570000002</v>
          </cell>
          <cell r="AH86">
            <v>10239751.787999999</v>
          </cell>
          <cell r="AI86">
            <v>12176100.124</v>
          </cell>
          <cell r="AJ86">
            <v>2436450.3229999999</v>
          </cell>
          <cell r="AK86">
            <v>6591793.2029999997</v>
          </cell>
          <cell r="AL86">
            <v>9926887.9560000002</v>
          </cell>
          <cell r="AP86">
            <v>0</v>
          </cell>
          <cell r="AT86">
            <v>0</v>
          </cell>
          <cell r="AX86">
            <v>0</v>
          </cell>
          <cell r="AZ86">
            <v>110706951.28500001</v>
          </cell>
          <cell r="BA86">
            <v>43049686.579999998</v>
          </cell>
          <cell r="BB86">
            <v>43234907.307000004</v>
          </cell>
          <cell r="BC86">
            <v>81880475.826000005</v>
          </cell>
          <cell r="BE86">
            <v>37988776.659999996</v>
          </cell>
          <cell r="BF86">
            <v>35464985.282000005</v>
          </cell>
          <cell r="BG86">
            <v>13656681.268000001</v>
          </cell>
          <cell r="BH86">
            <v>25913416.225000001</v>
          </cell>
          <cell r="BI86">
            <v>34835676.658</v>
          </cell>
          <cell r="BJ86">
            <v>2190056.111</v>
          </cell>
          <cell r="BK86">
            <v>10754979.843</v>
          </cell>
          <cell r="BL86">
            <v>25293535.131999999</v>
          </cell>
          <cell r="BM86">
            <v>37882497.967</v>
          </cell>
          <cell r="BN86">
            <v>5394645.1869999999</v>
          </cell>
          <cell r="BO86">
            <v>18823246.196000002</v>
          </cell>
          <cell r="BP86">
            <v>30673524.469000001</v>
          </cell>
        </row>
        <row r="87">
          <cell r="D87">
            <v>1346260.706175165</v>
          </cell>
          <cell r="E87">
            <v>601911.21352530003</v>
          </cell>
          <cell r="F87">
            <v>945237.53412490385</v>
          </cell>
          <cell r="G87">
            <v>1211490.7388679502</v>
          </cell>
          <cell r="H87">
            <v>1239451.4301652112</v>
          </cell>
          <cell r="I87">
            <v>476229.2886194</v>
          </cell>
          <cell r="J87">
            <v>855190.92127100902</v>
          </cell>
          <cell r="K87">
            <v>1243665.1386099998</v>
          </cell>
          <cell r="L87">
            <v>835218.22412339365</v>
          </cell>
          <cell r="M87">
            <v>458578.21498330001</v>
          </cell>
          <cell r="N87">
            <v>912047.57880386105</v>
          </cell>
          <cell r="O87">
            <v>1147339.2256977139</v>
          </cell>
          <cell r="P87">
            <v>223392.35187068</v>
          </cell>
          <cell r="Q87">
            <v>425565.40706487105</v>
          </cell>
          <cell r="R87">
            <v>891571.34352514613</v>
          </cell>
          <cell r="S87">
            <v>1175401.373995028</v>
          </cell>
          <cell r="T87">
            <v>305850.97449511301</v>
          </cell>
          <cell r="U87">
            <v>489632.47517049999</v>
          </cell>
          <cell r="V87">
            <v>905251.84369689401</v>
          </cell>
          <cell r="W87">
            <v>1138970.365208799</v>
          </cell>
          <cell r="X87">
            <v>288706.68962439999</v>
          </cell>
          <cell r="Y87">
            <v>771395.68928234</v>
          </cell>
          <cell r="Z87">
            <v>876856.87208787201</v>
          </cell>
          <cell r="AA87">
            <v>1291611.8472727919</v>
          </cell>
          <cell r="AB87">
            <v>290479.37754457002</v>
          </cell>
          <cell r="AC87">
            <v>641006.74522768904</v>
          </cell>
          <cell r="AD87">
            <v>1079201.5173548199</v>
          </cell>
          <cell r="AE87">
            <v>945288.79875000007</v>
          </cell>
          <cell r="AF87">
            <v>338162.64315407001</v>
          </cell>
          <cell r="AG87">
            <v>662293.05338749406</v>
          </cell>
          <cell r="AH87">
            <v>1069252.6927639181</v>
          </cell>
          <cell r="AI87">
            <v>1184685.4095364171</v>
          </cell>
          <cell r="AJ87">
            <v>390274.8220328</v>
          </cell>
          <cell r="AK87">
            <v>694948.39991688705</v>
          </cell>
          <cell r="AL87">
            <v>1036824.7388893771</v>
          </cell>
          <cell r="AP87">
            <v>0</v>
          </cell>
          <cell r="AT87">
            <v>0</v>
          </cell>
          <cell r="AX87">
            <v>0</v>
          </cell>
          <cell r="AZ87">
            <v>10660135.562725527</v>
          </cell>
          <cell r="BA87">
            <v>5257797.2191854017</v>
          </cell>
          <cell r="BB87">
            <v>5221560.4871777818</v>
          </cell>
          <cell r="BC87">
            <v>8571435.0425177999</v>
          </cell>
          <cell r="BE87">
            <v>3776838.5422647768</v>
          </cell>
          <cell r="BF87">
            <v>3420930.3604637696</v>
          </cell>
          <cell r="BG87">
            <v>1536718.717128</v>
          </cell>
          <cell r="BH87">
            <v>2712476.0341997738</v>
          </cell>
          <cell r="BI87">
            <v>3461710.9649015409</v>
          </cell>
          <cell r="BJ87">
            <v>817950.015990193</v>
          </cell>
          <cell r="BK87">
            <v>1686593.571517711</v>
          </cell>
          <cell r="BL87">
            <v>2673680.0593099124</v>
          </cell>
          <cell r="BM87">
            <v>3421586.0555592091</v>
          </cell>
          <cell r="BN87">
            <v>1018916.84273144</v>
          </cell>
          <cell r="BO87">
            <v>1998248.1985320703</v>
          </cell>
          <cell r="BP87">
            <v>3185278.9490081151</v>
          </cell>
        </row>
        <row r="88">
          <cell r="D88">
            <v>11725757.02</v>
          </cell>
          <cell r="E88">
            <v>3849028.9990000003</v>
          </cell>
          <cell r="F88">
            <v>7538437.1979999999</v>
          </cell>
          <cell r="G88">
            <v>10119900.239000002</v>
          </cell>
          <cell r="H88">
            <v>10614924.353</v>
          </cell>
          <cell r="I88">
            <v>2759517.3289999999</v>
          </cell>
          <cell r="J88">
            <v>6436830.9350000005</v>
          </cell>
          <cell r="K88">
            <v>10340083.589000002</v>
          </cell>
          <cell r="L88">
            <v>6422490.7369999997</v>
          </cell>
          <cell r="M88">
            <v>2336934.6780000003</v>
          </cell>
          <cell r="N88">
            <v>6879401.6889999993</v>
          </cell>
          <cell r="O88">
            <v>9584483.2540000007</v>
          </cell>
          <cell r="P88">
            <v>330058.16599999997</v>
          </cell>
          <cell r="Q88">
            <v>1784486.6850000001</v>
          </cell>
          <cell r="R88">
            <v>6655451.4849999994</v>
          </cell>
          <cell r="S88">
            <v>9872531.1350000016</v>
          </cell>
          <cell r="T88">
            <v>345013.36200000002</v>
          </cell>
          <cell r="U88">
            <v>2526050.34</v>
          </cell>
          <cell r="V88">
            <v>6871167.9780000001</v>
          </cell>
          <cell r="W88">
            <v>9567731.2719999999</v>
          </cell>
          <cell r="X88">
            <v>455648.02100000001</v>
          </cell>
          <cell r="Y88">
            <v>3073838.4799999995</v>
          </cell>
          <cell r="Z88">
            <v>6768112.1229999997</v>
          </cell>
          <cell r="AA88">
            <v>11134751.48</v>
          </cell>
          <cell r="AB88">
            <v>733387.321</v>
          </cell>
          <cell r="AC88">
            <v>4435094.7750000004</v>
          </cell>
          <cell r="AD88">
            <v>8658943.9729999993</v>
          </cell>
          <cell r="AE88">
            <v>10503208.875</v>
          </cell>
          <cell r="AF88">
            <v>1148712.1839999999</v>
          </cell>
          <cell r="AG88">
            <v>4689901.7829999998</v>
          </cell>
          <cell r="AH88">
            <v>8499343.841</v>
          </cell>
          <cell r="AI88">
            <v>10044656.607999999</v>
          </cell>
          <cell r="AJ88">
            <v>1694921.9180000001</v>
          </cell>
          <cell r="AK88">
            <v>5016823.2850000001</v>
          </cell>
          <cell r="AL88">
            <v>8267735.2109999992</v>
          </cell>
          <cell r="AP88">
            <v>0</v>
          </cell>
          <cell r="AT88">
            <v>0</v>
          </cell>
          <cell r="AX88">
            <v>0</v>
          </cell>
          <cell r="AZ88">
            <v>92685933.076000005</v>
          </cell>
          <cell r="BA88">
            <v>33470913.082000002</v>
          </cell>
          <cell r="BB88">
            <v>30471676.353999998</v>
          </cell>
          <cell r="BC88">
            <v>66575424.432999983</v>
          </cell>
          <cell r="BE88">
            <v>31978570.452</v>
          </cell>
          <cell r="BF88">
            <v>28763172.109999999</v>
          </cell>
          <cell r="BG88">
            <v>8945481.006000001</v>
          </cell>
          <cell r="BH88">
            <v>20854669.822000001</v>
          </cell>
          <cell r="BI88">
            <v>29024745.661000002</v>
          </cell>
          <cell r="BJ88">
            <v>1130719.5489999999</v>
          </cell>
          <cell r="BK88">
            <v>7384375.5049999999</v>
          </cell>
          <cell r="BL88">
            <v>20294731.585999999</v>
          </cell>
          <cell r="BM88">
            <v>31682616.963</v>
          </cell>
          <cell r="BN88">
            <v>3577021.423</v>
          </cell>
          <cell r="BO88">
            <v>14141819.843</v>
          </cell>
          <cell r="BP88">
            <v>25426023.024999999</v>
          </cell>
        </row>
        <row r="89">
          <cell r="D89">
            <v>7251921</v>
          </cell>
          <cell r="E89">
            <v>3065226</v>
          </cell>
          <cell r="F89">
            <v>5202212</v>
          </cell>
          <cell r="G89">
            <v>5712503</v>
          </cell>
          <cell r="H89">
            <v>6513946</v>
          </cell>
          <cell r="I89">
            <v>2292030</v>
          </cell>
          <cell r="J89">
            <v>4381395</v>
          </cell>
          <cell r="K89">
            <v>5876831.0000000019</v>
          </cell>
          <cell r="L89">
            <v>3887819.9999999995</v>
          </cell>
          <cell r="M89">
            <v>1985313</v>
          </cell>
          <cell r="N89">
            <v>4766775</v>
          </cell>
          <cell r="O89">
            <v>5564807</v>
          </cell>
          <cell r="P89">
            <v>175558</v>
          </cell>
          <cell r="Q89">
            <v>1583447</v>
          </cell>
          <cell r="R89">
            <v>4571118</v>
          </cell>
          <cell r="S89">
            <v>5741320</v>
          </cell>
          <cell r="T89">
            <v>191126</v>
          </cell>
          <cell r="U89">
            <v>2175648</v>
          </cell>
          <cell r="V89">
            <v>4743607</v>
          </cell>
          <cell r="W89">
            <v>5568998</v>
          </cell>
          <cell r="X89">
            <v>273327</v>
          </cell>
          <cell r="Y89">
            <v>2660897</v>
          </cell>
          <cell r="Z89">
            <v>4659578</v>
          </cell>
          <cell r="AA89">
            <v>6699707</v>
          </cell>
          <cell r="AB89">
            <v>489817</v>
          </cell>
          <cell r="AC89">
            <v>3636909</v>
          </cell>
          <cell r="AD89">
            <v>5720388</v>
          </cell>
          <cell r="AE89">
            <v>6376260</v>
          </cell>
          <cell r="AF89">
            <v>805192</v>
          </cell>
          <cell r="AG89">
            <v>3821430</v>
          </cell>
          <cell r="AH89">
            <v>5722955</v>
          </cell>
          <cell r="AI89">
            <v>6118054</v>
          </cell>
          <cell r="AJ89">
            <v>1306275</v>
          </cell>
          <cell r="AK89">
            <v>4126357</v>
          </cell>
          <cell r="AL89">
            <v>5545397</v>
          </cell>
          <cell r="AP89">
            <v>0</v>
          </cell>
          <cell r="AT89">
            <v>0</v>
          </cell>
          <cell r="AX89">
            <v>0</v>
          </cell>
          <cell r="AZ89">
            <v>54242679</v>
          </cell>
          <cell r="BA89">
            <v>20894982</v>
          </cell>
          <cell r="BB89">
            <v>25347257</v>
          </cell>
          <cell r="BC89">
            <v>45313425</v>
          </cell>
          <cell r="BE89">
            <v>18173533</v>
          </cell>
          <cell r="BF89">
            <v>17653687</v>
          </cell>
          <cell r="BG89">
            <v>7342569</v>
          </cell>
          <cell r="BH89">
            <v>14350382</v>
          </cell>
          <cell r="BI89">
            <v>16875125</v>
          </cell>
          <cell r="BJ89">
            <v>640011</v>
          </cell>
          <cell r="BK89">
            <v>6419992</v>
          </cell>
          <cell r="BL89">
            <v>13974303</v>
          </cell>
          <cell r="BM89">
            <v>19194021</v>
          </cell>
          <cell r="BN89">
            <v>2601284</v>
          </cell>
          <cell r="BO89">
            <v>11584696</v>
          </cell>
          <cell r="BP89">
            <v>16988740</v>
          </cell>
        </row>
        <row r="90">
          <cell r="D90">
            <v>0.72592663558176962</v>
          </cell>
          <cell r="E90">
            <v>0.71987250484382581</v>
          </cell>
          <cell r="F90">
            <v>0.71233917550376968</v>
          </cell>
          <cell r="G90">
            <v>0.67049549626006721</v>
          </cell>
          <cell r="H90">
            <v>0.7295074973116179</v>
          </cell>
          <cell r="I90">
            <v>0.71119029754015539</v>
          </cell>
          <cell r="J90">
            <v>0.73251361692728412</v>
          </cell>
          <cell r="K90">
            <v>0.6562069008985012</v>
          </cell>
          <cell r="L90">
            <v>0.59858089056848662</v>
          </cell>
          <cell r="M90">
            <v>0.67062456413617655</v>
          </cell>
          <cell r="N90">
            <v>0.74443021696432221</v>
          </cell>
          <cell r="O90">
            <v>0.65211715391328373</v>
          </cell>
          <cell r="P90">
            <v>0.61192416634444724</v>
          </cell>
          <cell r="Q90">
            <v>0.77040527822378435</v>
          </cell>
          <cell r="R90">
            <v>0.73254450582066533</v>
          </cell>
          <cell r="S90">
            <v>0.73677452918875064</v>
          </cell>
          <cell r="T90">
            <v>0.56814066399120489</v>
          </cell>
          <cell r="U90">
            <v>0.78655970931641161</v>
          </cell>
          <cell r="V90">
            <v>0.68132661088886159</v>
          </cell>
          <cell r="W90">
            <v>0.65156155958678119</v>
          </cell>
          <cell r="X90">
            <v>0.5996802829226533</v>
          </cell>
          <cell r="Y90">
            <v>1.1160725037864434</v>
          </cell>
          <cell r="Z90">
            <v>0.67978565092048204</v>
          </cell>
          <cell r="AA90">
            <v>0.74356166543851288</v>
          </cell>
          <cell r="AB90">
            <v>0.61784280340415398</v>
          </cell>
          <cell r="AC90">
            <v>0.69858108754368242</v>
          </cell>
          <cell r="AD90">
            <v>0.72384551093640326</v>
          </cell>
          <cell r="AE90">
            <v>0.61953976608323202</v>
          </cell>
          <cell r="AF90">
            <v>0.61846836877180134</v>
          </cell>
          <cell r="AG90">
            <v>0.69799506482209606</v>
          </cell>
          <cell r="AH90">
            <v>0.73905096696428796</v>
          </cell>
          <cell r="AI90">
            <v>0.80557415644246211</v>
          </cell>
          <cell r="AJ90">
            <v>0.819943017133547</v>
          </cell>
          <cell r="AK90">
            <v>0.7098911201068463</v>
          </cell>
          <cell r="AL90">
            <v>0.70248444364841978</v>
          </cell>
          <cell r="AP90" t="e">
            <v>#DIV/0!</v>
          </cell>
          <cell r="AT90" t="e">
            <v>#DIV/0!</v>
          </cell>
          <cell r="AX90" t="e">
            <v>#DIV/0!</v>
          </cell>
          <cell r="AZ90">
            <v>0.69628008886679815</v>
          </cell>
          <cell r="BA90">
            <v>0.67178249141175439</v>
          </cell>
          <cell r="BB90">
            <v>0.75663693896555784</v>
          </cell>
          <cell r="BC90">
            <v>0.71614253646395265</v>
          </cell>
          <cell r="BE90">
            <v>0.6899772304784364</v>
          </cell>
          <cell r="BF90">
            <v>0.69125113997804333</v>
          </cell>
          <cell r="BG90">
            <v>0.70183700523499315</v>
          </cell>
          <cell r="BH90">
            <v>0.72924156282925068</v>
          </cell>
          <cell r="BI90">
            <v>0.67839399916650578</v>
          </cell>
          <cell r="BJ90">
            <v>0.59064736360802994</v>
          </cell>
          <cell r="BK90">
            <v>0.90382588055628232</v>
          </cell>
          <cell r="BL90">
            <v>0.6970603192528928</v>
          </cell>
          <cell r="BM90">
            <v>0.72285052169072439</v>
          </cell>
          <cell r="BN90">
            <v>0.68250693544587371</v>
          </cell>
          <cell r="BO90">
            <v>0.70227686699461978</v>
          </cell>
          <cell r="BP90">
            <v>0.72168663931909782</v>
          </cell>
        </row>
        <row r="91">
          <cell r="D91">
            <v>0.69096386729741577</v>
          </cell>
          <cell r="E91">
            <v>1.0153840553979578</v>
          </cell>
          <cell r="F91">
            <v>0.81464919064982444</v>
          </cell>
          <cell r="G91">
            <v>0.72695787459808259</v>
          </cell>
          <cell r="H91">
            <v>0.75063801511760286</v>
          </cell>
          <cell r="I91">
            <v>1.2528529328497746</v>
          </cell>
          <cell r="J91">
            <v>0.92053110159971074</v>
          </cell>
          <cell r="K91">
            <v>0.70329348861177376</v>
          </cell>
          <cell r="L91">
            <v>0.65205509292878805</v>
          </cell>
          <cell r="M91">
            <v>1.2227285395778746</v>
          </cell>
          <cell r="N91">
            <v>0.90994042168563249</v>
          </cell>
          <cell r="O91">
            <v>0.73169102884705262</v>
          </cell>
          <cell r="P91">
            <v>1.2922682231039029</v>
          </cell>
          <cell r="Q91">
            <v>1.3670188618561048</v>
          </cell>
          <cell r="R91">
            <v>0.88095088033662339</v>
          </cell>
          <cell r="S91">
            <v>0.79908121206283877</v>
          </cell>
          <cell r="T91">
            <v>0.9209499288687657</v>
          </cell>
          <cell r="U91">
            <v>1.1524566632927447</v>
          </cell>
          <cell r="V91">
            <v>0.82440875917517464</v>
          </cell>
          <cell r="W91">
            <v>0.60665412125220985</v>
          </cell>
          <cell r="X91">
            <v>3.6532769602799435</v>
          </cell>
          <cell r="Y91">
            <v>1.9622541885228715</v>
          </cell>
          <cell r="Z91">
            <v>0.76294355053742779</v>
          </cell>
          <cell r="AA91">
            <v>0.69744601868225198</v>
          </cell>
          <cell r="AB91">
            <v>1.3908245934955212</v>
          </cell>
          <cell r="AC91">
            <v>1.0169524370985044</v>
          </cell>
          <cell r="AD91">
            <v>0.76740550082833081</v>
          </cell>
          <cell r="AE91">
            <v>0.6222080429267034</v>
          </cell>
          <cell r="AF91">
            <v>1.312615392655103</v>
          </cell>
          <cell r="AG91">
            <v>1.3285147197607512</v>
          </cell>
          <cell r="AH91">
            <v>0.82861874963332938</v>
          </cell>
          <cell r="AI91">
            <v>0.73883668490077115</v>
          </cell>
          <cell r="AJ91">
            <v>3.1083110626555088</v>
          </cell>
          <cell r="AK91">
            <v>0.90974684940508421</v>
          </cell>
          <cell r="AL91">
            <v>0.70144583444603725</v>
          </cell>
          <cell r="AP91" t="e">
            <v>#DIV/0!</v>
          </cell>
          <cell r="AT91" t="e">
            <v>#DIV/0!</v>
          </cell>
          <cell r="AX91" t="e">
            <v>#DIV/0!</v>
          </cell>
          <cell r="AZ91">
            <v>0.69805041611612562</v>
          </cell>
          <cell r="BA91">
            <v>0.9937886660180365</v>
          </cell>
          <cell r="BB91">
            <v>1.2106374676317877</v>
          </cell>
          <cell r="BC91">
            <v>0.81649263414770468</v>
          </cell>
          <cell r="BE91">
            <v>0.70428864025205506</v>
          </cell>
          <cell r="BF91">
            <v>0.69867041497885141</v>
          </cell>
          <cell r="BG91">
            <v>1.1534329965960837</v>
          </cell>
          <cell r="BH91">
            <v>0.87874290492822471</v>
          </cell>
          <cell r="BI91">
            <v>0.70663809065324978</v>
          </cell>
          <cell r="BJ91">
            <v>1.6840919066697064</v>
          </cell>
          <cell r="BK91">
            <v>1.4972898102558017</v>
          </cell>
          <cell r="BL91">
            <v>0.8209367636841497</v>
          </cell>
          <cell r="BM91">
            <v>0.68739438135168285</v>
          </cell>
          <cell r="BN91">
            <v>1.7780011984737285</v>
          </cell>
          <cell r="BO91">
            <v>1.0778113058807266</v>
          </cell>
          <cell r="BP91">
            <v>0.7646421096718945</v>
          </cell>
        </row>
        <row r="92">
          <cell r="D92">
            <v>70.797111314103134</v>
          </cell>
          <cell r="E92">
            <v>54.594027468919052</v>
          </cell>
          <cell r="F92">
            <v>71.54128214003137</v>
          </cell>
          <cell r="G92">
            <v>63.121470685401157</v>
          </cell>
          <cell r="H92">
            <v>62.907840200814704</v>
          </cell>
          <cell r="I92">
            <v>53.85451674058671</v>
          </cell>
          <cell r="J92">
            <v>68.160057836935053</v>
          </cell>
          <cell r="K92">
            <v>61.768665710154458</v>
          </cell>
          <cell r="L92">
            <v>63.847451439809824</v>
          </cell>
          <cell r="M92">
            <v>56.069304976950406</v>
          </cell>
          <cell r="N92">
            <v>72.123773621940103</v>
          </cell>
          <cell r="O92">
            <v>62.799516411029266</v>
          </cell>
          <cell r="P92">
            <v>72.021219676180607</v>
          </cell>
          <cell r="Q92">
            <v>55.945841528530728</v>
          </cell>
          <cell r="R92">
            <v>80.37074396842813</v>
          </cell>
          <cell r="S92">
            <v>64.006944478222508</v>
          </cell>
          <cell r="T92">
            <v>57.843014454722386</v>
          </cell>
          <cell r="U92">
            <v>61.164569226346167</v>
          </cell>
          <cell r="V92">
            <v>79.393724441976872</v>
          </cell>
          <cell r="W92">
            <v>71.650040920766514</v>
          </cell>
          <cell r="X92">
            <v>35.978064868793076</v>
          </cell>
          <cell r="Y92">
            <v>37.37193385220057</v>
          </cell>
          <cell r="Z92">
            <v>84.499341240034013</v>
          </cell>
          <cell r="AA92">
            <v>74.362316512082444</v>
          </cell>
          <cell r="AB92">
            <v>49.133904057052796</v>
          </cell>
          <cell r="AC92">
            <v>62.562884059303251</v>
          </cell>
          <cell r="AD92">
            <v>81.916104726453</v>
          </cell>
          <cell r="AE92">
            <v>82.045186483480435</v>
          </cell>
          <cell r="AF92">
            <v>46.16405307941146</v>
          </cell>
          <cell r="AG92">
            <v>61.493084771525353</v>
          </cell>
          <cell r="AH92">
            <v>77.397201165732255</v>
          </cell>
          <cell r="AI92">
            <v>72.251405784531599</v>
          </cell>
          <cell r="AJ92">
            <v>27.202788496443837</v>
          </cell>
          <cell r="AK92">
            <v>67.303164080106399</v>
          </cell>
          <cell r="AL92">
            <v>81.617218772160754</v>
          </cell>
          <cell r="AP92" t="e">
            <v>#DIV/0!</v>
          </cell>
          <cell r="AT92" t="e">
            <v>#DIV/0!</v>
          </cell>
          <cell r="AX92" t="e">
            <v>#DIV/0!</v>
          </cell>
          <cell r="AZ92">
            <v>68.595762889696132</v>
          </cell>
          <cell r="BA92">
            <v>59.20285075985128</v>
          </cell>
          <cell r="BB92">
            <v>56.382979896855886</v>
          </cell>
          <cell r="BC92">
            <v>77.594822227625457</v>
          </cell>
          <cell r="BE92">
            <v>64.378666282822522</v>
          </cell>
          <cell r="BF92">
            <v>66.241961310791524</v>
          </cell>
          <cell r="BG92">
            <v>54.805031248949732</v>
          </cell>
          <cell r="BH92">
            <v>70.671105832008635</v>
          </cell>
          <cell r="BI92">
            <v>66.121485766333606</v>
          </cell>
          <cell r="BJ92">
            <v>53.997602702729644</v>
          </cell>
          <cell r="BK92">
            <v>48.965752220984498</v>
          </cell>
          <cell r="BL92">
            <v>81.393955460213377</v>
          </cell>
          <cell r="BM92">
            <v>75.754000283623199</v>
          </cell>
          <cell r="BN92">
            <v>39.74819712032788</v>
          </cell>
          <cell r="BO92">
            <v>63.856882162592129</v>
          </cell>
          <cell r="BP92">
            <v>80.301884360051815</v>
          </cell>
        </row>
        <row r="93">
          <cell r="D93">
            <v>51.393508825154925</v>
          </cell>
          <cell r="E93">
            <v>39.30073930356339</v>
          </cell>
          <cell r="F93">
            <v>50.961657934112502</v>
          </cell>
          <cell r="G93">
            <v>42.322661811873331</v>
          </cell>
          <cell r="H93">
            <v>45.89174106617552</v>
          </cell>
          <cell r="I93">
            <v>38.30080978461914</v>
          </cell>
          <cell r="J93">
            <v>49.928170496106169</v>
          </cell>
          <cell r="K93">
            <v>40.533024698295975</v>
          </cell>
          <cell r="L93">
            <v>38.217864343369563</v>
          </cell>
          <cell r="M93">
            <v>37.601453211585721</v>
          </cell>
          <cell r="N93">
            <v>53.691116445666523</v>
          </cell>
          <cell r="O93">
            <v>40.95264190909095</v>
          </cell>
          <cell r="P93">
            <v>44.071524809457117</v>
          </cell>
          <cell r="Q93">
            <v>43.100971608251463</v>
          </cell>
          <cell r="R93">
            <v>58.875146922791401</v>
          </cell>
          <cell r="S93">
            <v>47.158686382752897</v>
          </cell>
          <cell r="T93">
            <v>32.862968639558844</v>
          </cell>
          <cell r="U93">
            <v>48.109585791138372</v>
          </cell>
          <cell r="V93">
            <v>54.093057199896279</v>
          </cell>
          <cell r="W93">
            <v>46.684412406791317</v>
          </cell>
          <cell r="X93">
            <v>21.5753361195274</v>
          </cell>
          <cell r="Y93">
            <v>41.709787785766835</v>
          </cell>
          <cell r="Z93">
            <v>57.441439687208451</v>
          </cell>
          <cell r="AA93">
            <v>55.292967911589855</v>
          </cell>
          <cell r="AB93">
            <v>30.357029024800237</v>
          </cell>
          <cell r="AC93">
            <v>43.705247586017379</v>
          </cell>
          <cell r="AD93">
            <v>59.294604679639285</v>
          </cell>
          <cell r="AE93">
            <v>50.830255642230618</v>
          </cell>
          <cell r="AF93">
            <v>28.551006603918456</v>
          </cell>
          <cell r="AG93">
            <v>42.921869691211477</v>
          </cell>
          <cell r="AH93">
            <v>57.200476361863942</v>
          </cell>
          <cell r="AI93">
            <v>58.203865266656067</v>
          </cell>
          <cell r="AJ93">
            <v>22.304736474219901</v>
          </cell>
          <cell r="AK93">
            <v>47.777918535561597</v>
          </cell>
          <cell r="AL93">
            <v>57.334826521292712</v>
          </cell>
          <cell r="AP93" t="e">
            <v>#DIV/0!</v>
          </cell>
          <cell r="AT93" t="e">
            <v>#DIV/0!</v>
          </cell>
          <cell r="AX93" t="e">
            <v>#DIV/0!</v>
          </cell>
          <cell r="AZ93">
            <v>47.761863880723439</v>
          </cell>
          <cell r="BA93">
            <v>39.771438582131168</v>
          </cell>
          <cell r="BB93">
            <v>42.661445318913628</v>
          </cell>
          <cell r="BC93">
            <v>55.568952806561192</v>
          </cell>
          <cell r="BE93">
            <v>44.41981386371738</v>
          </cell>
          <cell r="BF93">
            <v>45.789831270466088</v>
          </cell>
          <cell r="BG93">
            <v>38.4641990035731</v>
          </cell>
          <cell r="BH93">
            <v>51.536307663805346</v>
          </cell>
          <cell r="BI93">
            <v>44.856419159854241</v>
          </cell>
          <cell r="BJ93">
            <v>31.8935416775211</v>
          </cell>
          <cell r="BK93">
            <v>44.256514118232047</v>
          </cell>
          <cell r="BL93">
            <v>56.736496578352067</v>
          </cell>
          <cell r="BM93">
            <v>54.758818625176318</v>
          </cell>
          <cell r="BN93">
            <v>27.128420206093484</v>
          </cell>
          <cell r="BO93">
            <v>44.845211141189822</v>
          </cell>
          <cell r="BP93">
            <v>57.952797054796612</v>
          </cell>
        </row>
        <row r="94">
          <cell r="D94">
            <v>48.91824582707833</v>
          </cell>
          <cell r="E94">
            <v>55.433905011898531</v>
          </cell>
          <cell r="F94">
            <v>58.281047593427296</v>
          </cell>
          <cell r="G94">
            <v>45.886650170964401</v>
          </cell>
          <cell r="H94">
            <v>47.221016303674901</v>
          </cell>
          <cell r="I94">
            <v>67.471789245651337</v>
          </cell>
          <cell r="J94">
            <v>62.743453125733829</v>
          </cell>
          <cell r="K94">
            <v>43.441500394188971</v>
          </cell>
          <cell r="L94">
            <v>41.632055881851471</v>
          </cell>
          <cell r="M94">
            <v>68.557539389613027</v>
          </cell>
          <cell r="N94">
            <v>65.628336983107275</v>
          </cell>
          <cell r="O94">
            <v>45.949842773883361</v>
          </cell>
          <cell r="P94">
            <v>93.070733576713764</v>
          </cell>
          <cell r="Q94">
            <v>76.479020611914081</v>
          </cell>
          <cell r="R94">
            <v>70.802677652296126</v>
          </cell>
          <cell r="S94">
            <v>51.146746774096876</v>
          </cell>
          <cell r="T94">
            <v>53.270520047631564</v>
          </cell>
          <cell r="U94">
            <v>70.48951536233298</v>
          </cell>
          <cell r="V94">
            <v>65.4528818535059</v>
          </cell>
          <cell r="W94">
            <v>43.466792612472489</v>
          </cell>
          <cell r="X94">
            <v>131.43783546061897</v>
          </cell>
          <cell r="Y94">
            <v>73.333233734680263</v>
          </cell>
          <cell r="Z94">
            <v>64.468227423745233</v>
          </cell>
          <cell r="AA94">
            <v>51.863701591341396</v>
          </cell>
          <cell r="AB94">
            <v>68.336642136998393</v>
          </cell>
          <cell r="AC94">
            <v>63.623477416019604</v>
          </cell>
          <cell r="AD94">
            <v>62.862869373509653</v>
          </cell>
          <cell r="AE94">
            <v>51.049174913442776</v>
          </cell>
          <cell r="AF94">
            <v>60.595646659382695</v>
          </cell>
          <cell r="AG94">
            <v>81.694468282467099</v>
          </cell>
          <cell r="AH94">
            <v>64.132772055068315</v>
          </cell>
          <cell r="AI94">
            <v>53.381989129263729</v>
          </cell>
          <cell r="AJ94">
            <v>84.554728418574385</v>
          </cell>
          <cell r="AK94">
            <v>61.22884147687023</v>
          </cell>
          <cell r="AL94">
            <v>57.250058126803083</v>
          </cell>
          <cell r="AP94" t="e">
            <v>#DIV/0!</v>
          </cell>
          <cell r="AT94" t="e">
            <v>#DIV/0!</v>
          </cell>
          <cell r="AX94" t="e">
            <v>#DIV/0!</v>
          </cell>
          <cell r="AZ94">
            <v>47.88330082895547</v>
          </cell>
          <cell r="BA94">
            <v>58.835122081097502</v>
          </cell>
          <cell r="BB94">
            <v>68.259347999863621</v>
          </cell>
          <cell r="BC94">
            <v>63.355600796856784</v>
          </cell>
          <cell r="BE94">
            <v>45.341163337569903</v>
          </cell>
          <cell r="BF94">
            <v>46.281298598023746</v>
          </cell>
          <cell r="BG94">
            <v>63.213931422018099</v>
          </cell>
          <cell r="BH94">
            <v>62.101732833309264</v>
          </cell>
          <cell r="BI94">
            <v>46.723960453078014</v>
          </cell>
          <cell r="BJ94">
            <v>90.936925691233256</v>
          </cell>
          <cell r="BK94">
            <v>73.315921851990467</v>
          </cell>
          <cell r="BL94">
            <v>66.819290378959394</v>
          </cell>
          <cell r="BM94">
            <v>52.072874159876378</v>
          </cell>
          <cell r="BN94">
            <v>70.67234211711299</v>
          </cell>
          <cell r="BO94">
            <v>68.8256695531351</v>
          </cell>
          <cell r="BP94">
            <v>61.402202267698527</v>
          </cell>
        </row>
        <row r="95">
          <cell r="D95">
            <v>2.3099787681995786E-2</v>
          </cell>
          <cell r="E95">
            <v>1.5559715398724951E-2</v>
          </cell>
          <cell r="F95">
            <v>1.4872418906129579E-2</v>
          </cell>
          <cell r="G95">
            <v>2.7367818545297785E-2</v>
          </cell>
          <cell r="H95">
            <v>3.2031267645554092E-2</v>
          </cell>
          <cell r="I95">
            <v>1.8198585371229457E-2</v>
          </cell>
          <cell r="J95">
            <v>1.5915344590984856E-2</v>
          </cell>
          <cell r="K95">
            <v>1.824432439429895E-2</v>
          </cell>
          <cell r="L95">
            <v>1.7113260069287782E-2</v>
          </cell>
          <cell r="M95">
            <v>2.0120883846427434E-2</v>
          </cell>
          <cell r="N95">
            <v>1.4023977876689348E-2</v>
          </cell>
          <cell r="O95">
            <v>2.115965594691992E-2</v>
          </cell>
          <cell r="P95">
            <v>-4.5666571171617083E-3</v>
          </cell>
          <cell r="Q95">
            <v>1.7819564566113309E-2</v>
          </cell>
          <cell r="R95">
            <v>1.7604505403272717E-2</v>
          </cell>
          <cell r="S95">
            <v>2.3072003716462147E-2</v>
          </cell>
          <cell r="T95">
            <v>2.222906679544779E-2</v>
          </cell>
          <cell r="U95">
            <v>1.8933253307197181E-2</v>
          </cell>
          <cell r="V95">
            <v>1.8825151140402948E-2</v>
          </cell>
          <cell r="W95">
            <v>2.4633718206310634E-2</v>
          </cell>
          <cell r="X95">
            <v>2.5796660739687446E-2</v>
          </cell>
          <cell r="Y95">
            <v>1.8560180439210306E-2</v>
          </cell>
          <cell r="Z95">
            <v>2.1333074116768842E-2</v>
          </cell>
          <cell r="AA95">
            <v>2.0087288813419011E-2</v>
          </cell>
          <cell r="AB95">
            <v>2.9358971315269902E-2</v>
          </cell>
          <cell r="AC95">
            <v>1.4681839333399102E-2</v>
          </cell>
          <cell r="AD95">
            <v>1.4742386714566541E-2</v>
          </cell>
          <cell r="AE95">
            <v>2.6749594575909218E-2</v>
          </cell>
          <cell r="AF95">
            <v>3.1200796459038217E-2</v>
          </cell>
          <cell r="AG95">
            <v>1.9629188282465709E-2</v>
          </cell>
          <cell r="AH95">
            <v>2.2189945122477947E-2</v>
          </cell>
          <cell r="AI95">
            <v>2.3085982291117451E-2</v>
          </cell>
          <cell r="AJ95">
            <v>1.0142857849614792E-2</v>
          </cell>
          <cell r="AK95">
            <v>1.7325473168314055E-2</v>
          </cell>
          <cell r="AL95">
            <v>1.8227464482494446E-2</v>
          </cell>
          <cell r="AP95" t="e">
            <v>#DIV/0!</v>
          </cell>
          <cell r="AT95" t="e">
            <v>#DIV/0!</v>
          </cell>
          <cell r="AX95" t="e">
            <v>#DIV/0!</v>
          </cell>
          <cell r="AZ95">
            <v>2.277945568334443E-2</v>
          </cell>
          <cell r="BA95">
            <v>2.3173286273922459E-2</v>
          </cell>
          <cell r="BB95">
            <v>1.7731573413897649E-2</v>
          </cell>
          <cell r="BC95">
            <v>1.7641225825405723E-2</v>
          </cell>
          <cell r="BE95">
            <v>2.2235786044615603E-2</v>
          </cell>
          <cell r="BF95">
            <v>2.4764139940140588E-2</v>
          </cell>
          <cell r="BG95">
            <v>1.7755851660443418E-2</v>
          </cell>
          <cell r="BH95">
            <v>1.4898404522027654E-2</v>
          </cell>
          <cell r="BI95">
            <v>2.3026821620380583E-2</v>
          </cell>
          <cell r="BJ95">
            <v>1.3307159382354012E-2</v>
          </cell>
          <cell r="BK95">
            <v>1.8481955978742769E-2</v>
          </cell>
          <cell r="BL95">
            <v>1.9277104473024186E-2</v>
          </cell>
          <cell r="BM95">
            <v>2.307101426528825E-2</v>
          </cell>
          <cell r="BN95">
            <v>2.5031518504158662E-2</v>
          </cell>
          <cell r="BO95">
            <v>1.7229893591920186E-2</v>
          </cell>
          <cell r="BP95">
            <v>1.8304986585971017E-2</v>
          </cell>
        </row>
        <row r="98">
          <cell r="D98">
            <v>13757747.813000001</v>
          </cell>
          <cell r="E98">
            <v>5475714.8839999996</v>
          </cell>
          <cell r="F98">
            <v>9370895.1459999997</v>
          </cell>
          <cell r="G98">
            <v>12033357.179000001</v>
          </cell>
          <cell r="H98">
            <v>12659663.079</v>
          </cell>
          <cell r="I98">
            <v>4254640.4620000003</v>
          </cell>
          <cell r="J98">
            <v>8062795.1959999995</v>
          </cell>
          <cell r="K98">
            <v>12480747.710999999</v>
          </cell>
          <cell r="L98">
            <v>9047574.3900000006</v>
          </cell>
          <cell r="M98">
            <v>3926325.9219999998</v>
          </cell>
          <cell r="N98">
            <v>8479725.8829999994</v>
          </cell>
          <cell r="O98">
            <v>11506463.931</v>
          </cell>
          <cell r="P98">
            <v>660640.09100000001</v>
          </cell>
          <cell r="Q98">
            <v>2868871.6010000003</v>
          </cell>
          <cell r="R98">
            <v>8197806.4450000003</v>
          </cell>
          <cell r="S98">
            <v>11805332.589</v>
          </cell>
          <cell r="T98">
            <v>787722.85200000007</v>
          </cell>
          <cell r="U98">
            <v>3631644.1570000001</v>
          </cell>
          <cell r="V98">
            <v>8631427.3440000005</v>
          </cell>
          <cell r="W98">
            <v>11523880.138</v>
          </cell>
          <cell r="X98">
            <v>741693.16800000006</v>
          </cell>
          <cell r="Y98">
            <v>4254464.085</v>
          </cell>
          <cell r="Z98">
            <v>8464301.3430000003</v>
          </cell>
          <cell r="AA98">
            <v>13181654.892000001</v>
          </cell>
          <cell r="AB98">
            <v>1213081.9819999998</v>
          </cell>
          <cell r="AC98">
            <v>6007094.7359999996</v>
          </cell>
          <cell r="AD98">
            <v>10506884.725000001</v>
          </cell>
          <cell r="AE98">
            <v>12524742.950999999</v>
          </cell>
          <cell r="AF98">
            <v>1745112.8820000002</v>
          </cell>
          <cell r="AG98">
            <v>6224358.2570000002</v>
          </cell>
          <cell r="AH98">
            <v>10239751.787999999</v>
          </cell>
          <cell r="AI98">
            <v>12176100.124</v>
          </cell>
          <cell r="AJ98">
            <v>2436450.3229999999</v>
          </cell>
          <cell r="AK98">
            <v>6591793.2029999997</v>
          </cell>
          <cell r="AL98">
            <v>9926887.9560000002</v>
          </cell>
          <cell r="AP98">
            <v>0</v>
          </cell>
          <cell r="AT98">
            <v>0</v>
          </cell>
          <cell r="AX98">
            <v>0</v>
          </cell>
          <cell r="AZ98">
            <v>110706951.28500001</v>
          </cell>
          <cell r="BA98">
            <v>43049686.579999998</v>
          </cell>
          <cell r="BB98">
            <v>43234907.307000004</v>
          </cell>
          <cell r="BC98">
            <v>81880475.826000005</v>
          </cell>
          <cell r="BE98">
            <v>37988776.659999996</v>
          </cell>
          <cell r="BF98">
            <v>35464985.282000005</v>
          </cell>
          <cell r="BG98">
            <v>13656681.268000001</v>
          </cell>
          <cell r="BH98">
            <v>25913416.225000001</v>
          </cell>
          <cell r="BI98">
            <v>34835676.658</v>
          </cell>
          <cell r="BJ98">
            <v>2190056.111</v>
          </cell>
          <cell r="BK98">
            <v>10754979.843</v>
          </cell>
          <cell r="BL98">
            <v>25293535.131999999</v>
          </cell>
          <cell r="BM98">
            <v>37882497.967</v>
          </cell>
          <cell r="BN98">
            <v>5394645.1869999999</v>
          </cell>
          <cell r="BO98">
            <v>18823246.196000002</v>
          </cell>
          <cell r="BP98">
            <v>30673524.469000001</v>
          </cell>
        </row>
        <row r="99">
          <cell r="D99">
            <v>11725757.02</v>
          </cell>
          <cell r="E99">
            <v>3849028.9990000003</v>
          </cell>
          <cell r="F99">
            <v>7538437.1979999999</v>
          </cell>
          <cell r="G99">
            <v>10119900.239000002</v>
          </cell>
          <cell r="H99">
            <v>10614924.353</v>
          </cell>
          <cell r="I99">
            <v>2759517.3289999999</v>
          </cell>
          <cell r="J99">
            <v>6436830.9350000005</v>
          </cell>
          <cell r="K99">
            <v>10340083.589000002</v>
          </cell>
          <cell r="L99">
            <v>6422490.7369999997</v>
          </cell>
          <cell r="M99">
            <v>2336934.6780000003</v>
          </cell>
          <cell r="N99">
            <v>6879401.6889999993</v>
          </cell>
          <cell r="O99">
            <v>9584483.2540000007</v>
          </cell>
          <cell r="P99">
            <v>330058.16599999997</v>
          </cell>
          <cell r="Q99">
            <v>1784486.6850000001</v>
          </cell>
          <cell r="R99">
            <v>6655451.4849999994</v>
          </cell>
          <cell r="S99">
            <v>9872531.1350000016</v>
          </cell>
          <cell r="T99">
            <v>345013.36200000002</v>
          </cell>
          <cell r="U99">
            <v>2526050.34</v>
          </cell>
          <cell r="V99">
            <v>6871167.9780000001</v>
          </cell>
          <cell r="W99">
            <v>9567731.2719999999</v>
          </cell>
          <cell r="X99">
            <v>455648.02100000001</v>
          </cell>
          <cell r="Y99">
            <v>3073838.4799999995</v>
          </cell>
          <cell r="Z99">
            <v>6768112.1229999997</v>
          </cell>
          <cell r="AA99">
            <v>11134751.48</v>
          </cell>
          <cell r="AB99">
            <v>733387.321</v>
          </cell>
          <cell r="AC99">
            <v>4435094.7750000004</v>
          </cell>
          <cell r="AD99">
            <v>8658943.9729999993</v>
          </cell>
          <cell r="AE99">
            <v>10503208.875</v>
          </cell>
          <cell r="AF99">
            <v>1148712.1839999999</v>
          </cell>
          <cell r="AG99">
            <v>4689901.7829999998</v>
          </cell>
          <cell r="AH99">
            <v>8499343.841</v>
          </cell>
          <cell r="AI99">
            <v>10044656.607999999</v>
          </cell>
          <cell r="AJ99">
            <v>1694921.9180000001</v>
          </cell>
          <cell r="AK99">
            <v>5016823.2850000001</v>
          </cell>
          <cell r="AL99">
            <v>8267735.2109999992</v>
          </cell>
          <cell r="AP99">
            <v>0</v>
          </cell>
          <cell r="AT99">
            <v>0</v>
          </cell>
          <cell r="AX99">
            <v>0</v>
          </cell>
          <cell r="AZ99">
            <v>92685933.076000005</v>
          </cell>
          <cell r="BA99">
            <v>33470913.082000002</v>
          </cell>
          <cell r="BB99">
            <v>30471676.353999998</v>
          </cell>
          <cell r="BC99">
            <v>66575424.432999983</v>
          </cell>
          <cell r="BE99">
            <v>31978570.452</v>
          </cell>
          <cell r="BF99">
            <v>28763172.109999999</v>
          </cell>
          <cell r="BG99">
            <v>8945481.006000001</v>
          </cell>
          <cell r="BH99">
            <v>20854669.822000001</v>
          </cell>
          <cell r="BI99">
            <v>29024745.661000002</v>
          </cell>
          <cell r="BJ99">
            <v>1130719.5489999999</v>
          </cell>
          <cell r="BK99">
            <v>7384375.5049999999</v>
          </cell>
          <cell r="BL99">
            <v>20294731.585999999</v>
          </cell>
          <cell r="BM99">
            <v>31682616.963</v>
          </cell>
          <cell r="BN99">
            <v>3577021.423</v>
          </cell>
          <cell r="BO99">
            <v>14141819.843</v>
          </cell>
          <cell r="BP99">
            <v>25426023.024999999</v>
          </cell>
        </row>
        <row r="100">
          <cell r="D100">
            <v>0.85230207584704176</v>
          </cell>
          <cell r="E100">
            <v>0.70292721234387789</v>
          </cell>
          <cell r="F100">
            <v>0.80445219806112211</v>
          </cell>
          <cell r="G100">
            <v>0.84098727299981868</v>
          </cell>
          <cell r="H100">
            <v>0.83848395385878505</v>
          </cell>
          <cell r="I100">
            <v>0.64859001686427331</v>
          </cell>
          <cell r="J100">
            <v>0.79833739770462608</v>
          </cell>
          <cell r="K100">
            <v>0.82848270219313003</v>
          </cell>
          <cell r="L100">
            <v>0.70985774309836869</v>
          </cell>
          <cell r="M100">
            <v>0.59519630423589687</v>
          </cell>
          <cell r="N100">
            <v>0.81127642378059639</v>
          </cell>
          <cell r="O100">
            <v>0.83296513259630367</v>
          </cell>
          <cell r="P100">
            <v>0.49960359732391713</v>
          </cell>
          <cell r="Q100">
            <v>0.62201692274341691</v>
          </cell>
          <cell r="R100">
            <v>0.81185760235401594</v>
          </cell>
          <cell r="S100">
            <v>0.83627725526335883</v>
          </cell>
          <cell r="T100">
            <v>0.43798826087630116</v>
          </cell>
          <cell r="U100">
            <v>0.69556658934522364</v>
          </cell>
          <cell r="V100">
            <v>0.79606393058227887</v>
          </cell>
          <cell r="W100">
            <v>0.83025258484339848</v>
          </cell>
          <cell r="X100">
            <v>0.61433493074861378</v>
          </cell>
          <cell r="Y100">
            <v>0.72249722140973238</v>
          </cell>
          <cell r="Z100">
            <v>0.79960670688990132</v>
          </cell>
          <cell r="AA100">
            <v>0.84471574860890386</v>
          </cell>
          <cell r="AB100">
            <v>0.60456534008597618</v>
          </cell>
          <cell r="AC100">
            <v>0.73830944406800525</v>
          </cell>
          <cell r="AD100">
            <v>0.82412096445647431</v>
          </cell>
          <cell r="AE100">
            <v>0.83859676131408378</v>
          </cell>
          <cell r="AF100">
            <v>0.65824520341830806</v>
          </cell>
          <cell r="AG100">
            <v>0.75347555352002282</v>
          </cell>
          <cell r="AH100">
            <v>0.83003416654692852</v>
          </cell>
          <cell r="AI100">
            <v>0.82494858827591544</v>
          </cell>
          <cell r="AJ100">
            <v>0.69565215510449796</v>
          </cell>
          <cell r="AK100">
            <v>0.76107109712070264</v>
          </cell>
          <cell r="AL100">
            <v>0.83286275090904216</v>
          </cell>
          <cell r="AP100">
            <v>0</v>
          </cell>
          <cell r="AT100">
            <v>0</v>
          </cell>
          <cell r="AX100">
            <v>0</v>
          </cell>
          <cell r="AZ100">
            <v>0.83721872926834251</v>
          </cell>
          <cell r="BA100">
            <v>0.77749493064950448</v>
          </cell>
          <cell r="BB100">
            <v>0.70479337766653294</v>
          </cell>
          <cell r="BC100">
            <v>0.81308057581975957</v>
          </cell>
          <cell r="BE100">
            <v>0.84178995123240175</v>
          </cell>
          <cell r="BF100">
            <v>0.8110301437118751</v>
          </cell>
          <cell r="BG100">
            <v>0.65502597816065544</v>
          </cell>
          <cell r="BH100">
            <v>0.80478272879669299</v>
          </cell>
          <cell r="BI100">
            <v>0.83319023614643872</v>
          </cell>
          <cell r="BJ100">
            <v>0.51629706806174147</v>
          </cell>
          <cell r="BK100">
            <v>0.68660058994031525</v>
          </cell>
          <cell r="BL100">
            <v>0.80236833167397836</v>
          </cell>
          <cell r="BM100">
            <v>0.83633917147172265</v>
          </cell>
          <cell r="BN100">
            <v>0.66306889498866317</v>
          </cell>
          <cell r="BO100">
            <v>0.75129548302912708</v>
          </cell>
          <cell r="BP100">
            <v>0.82892407915812361</v>
          </cell>
        </row>
        <row r="101">
          <cell r="D101">
            <v>7.3598181213280141</v>
          </cell>
          <cell r="E101">
            <v>5.4561333795310611</v>
          </cell>
          <cell r="F101">
            <v>7.1531342172411598</v>
          </cell>
          <cell r="G101">
            <v>6.7060572952584234</v>
          </cell>
          <cell r="H101">
            <v>6.5759762566252791</v>
          </cell>
          <cell r="I101">
            <v>5.3862482561845431</v>
          </cell>
          <cell r="J101">
            <v>6.8585604553085311</v>
          </cell>
          <cell r="K101">
            <v>6.5518800612931294</v>
          </cell>
          <cell r="L101">
            <v>7.0482416585936738</v>
          </cell>
          <cell r="M101">
            <v>5.9195582601481158</v>
          </cell>
          <cell r="N101">
            <v>7.3484629261411136</v>
          </cell>
          <cell r="O101">
            <v>6.5443552924967179</v>
          </cell>
          <cell r="P101">
            <v>21.153750383715124</v>
          </cell>
          <cell r="Q101">
            <v>5.7158117694861055</v>
          </cell>
          <cell r="R101">
            <v>8.3586766725455135</v>
          </cell>
          <cell r="S101">
            <v>6.6641084707488476</v>
          </cell>
          <cell r="T101">
            <v>13.981116726303341</v>
          </cell>
          <cell r="U101">
            <v>6.5178487431704806</v>
          </cell>
          <cell r="V101">
            <v>8.1026433525290429</v>
          </cell>
          <cell r="W101">
            <v>7.6770134187158598</v>
          </cell>
          <cell r="X101">
            <v>1.0732559249138722</v>
          </cell>
          <cell r="Y101">
            <v>6.1502891620012976</v>
          </cell>
          <cell r="Z101">
            <v>8.8699954223097102</v>
          </cell>
          <cell r="AA101">
            <v>7.8689809349708693</v>
          </cell>
          <cell r="AB101">
            <v>6.3924103366664822</v>
          </cell>
          <cell r="AC101">
            <v>6.2918930055579807</v>
          </cell>
          <cell r="AD101">
            <v>8.6668596504726114</v>
          </cell>
          <cell r="AE101">
            <v>6.5812580579295679</v>
          </cell>
          <cell r="AF101">
            <v>5.4598076532387037</v>
          </cell>
          <cell r="AG101">
            <v>6.2574499012276501</v>
          </cell>
          <cell r="AH101">
            <v>8.1279039498414445</v>
          </cell>
          <cell r="AI101">
            <v>7.694261835693232</v>
          </cell>
          <cell r="AJ101">
            <v>0.67529981043231635</v>
          </cell>
          <cell r="AK101">
            <v>6.8182970845781457</v>
          </cell>
          <cell r="AL101">
            <v>8.5163587512790926</v>
          </cell>
          <cell r="AP101" t="e">
            <v>#DIV/0!</v>
          </cell>
          <cell r="AT101" t="e">
            <v>#DIV/0!</v>
          </cell>
          <cell r="AX101" t="e">
            <v>#DIV/0!</v>
          </cell>
          <cell r="AZ101">
            <v>7.043090045379885</v>
          </cell>
          <cell r="BA101">
            <v>6.7452388741176081</v>
          </cell>
          <cell r="BB101">
            <v>6.1278263180869867</v>
          </cell>
          <cell r="BC101">
            <v>8.028504448651951</v>
          </cell>
          <cell r="BE101">
            <v>6.7794836651072776</v>
          </cell>
          <cell r="BF101">
            <v>7.0009731717918662</v>
          </cell>
          <cell r="BG101">
            <v>5.5556411046775267</v>
          </cell>
          <cell r="BH101">
            <v>7.1266472549326974</v>
          </cell>
          <cell r="BI101">
            <v>6.9584583373916526</v>
          </cell>
          <cell r="BJ101">
            <v>10.873312565449144</v>
          </cell>
          <cell r="BK101">
            <v>6.1710160173734536</v>
          </cell>
          <cell r="BL101">
            <v>8.4425119611270958</v>
          </cell>
          <cell r="BM101">
            <v>7.3866907338922028</v>
          </cell>
          <cell r="BN101">
            <v>3.3839441489515685</v>
          </cell>
          <cell r="BO101">
            <v>6.4672128365317647</v>
          </cell>
          <cell r="BP101">
            <v>8.4377608491164864</v>
          </cell>
        </row>
        <row r="102">
          <cell r="D102">
            <v>7251921</v>
          </cell>
          <cell r="E102">
            <v>3065226</v>
          </cell>
          <cell r="F102">
            <v>5202212</v>
          </cell>
          <cell r="G102">
            <v>5712503</v>
          </cell>
          <cell r="H102">
            <v>6513946</v>
          </cell>
          <cell r="I102">
            <v>2292030</v>
          </cell>
          <cell r="J102">
            <v>4381395</v>
          </cell>
          <cell r="K102">
            <v>5876831.0000000019</v>
          </cell>
          <cell r="L102">
            <v>3887819.9999999995</v>
          </cell>
          <cell r="M102">
            <v>1985313</v>
          </cell>
          <cell r="N102">
            <v>4766775</v>
          </cell>
          <cell r="O102">
            <v>5564807</v>
          </cell>
          <cell r="P102">
            <v>175558</v>
          </cell>
          <cell r="Q102">
            <v>1583447</v>
          </cell>
          <cell r="R102">
            <v>4571118</v>
          </cell>
          <cell r="S102">
            <v>5741320</v>
          </cell>
          <cell r="T102">
            <v>191126</v>
          </cell>
          <cell r="U102">
            <v>2175648</v>
          </cell>
          <cell r="V102">
            <v>4743607</v>
          </cell>
          <cell r="W102">
            <v>5568998</v>
          </cell>
          <cell r="X102">
            <v>273327</v>
          </cell>
          <cell r="Y102">
            <v>2660897</v>
          </cell>
          <cell r="Z102">
            <v>4659578</v>
          </cell>
          <cell r="AA102">
            <v>6699707</v>
          </cell>
          <cell r="AB102">
            <v>489817</v>
          </cell>
          <cell r="AC102">
            <v>3636909</v>
          </cell>
          <cell r="AD102">
            <v>5720388</v>
          </cell>
          <cell r="AE102">
            <v>6376260</v>
          </cell>
          <cell r="AF102">
            <v>805192</v>
          </cell>
          <cell r="AG102">
            <v>3821430</v>
          </cell>
          <cell r="AH102">
            <v>5722955</v>
          </cell>
          <cell r="AI102">
            <v>6118054</v>
          </cell>
          <cell r="AJ102">
            <v>1306275</v>
          </cell>
          <cell r="AK102">
            <v>4126357</v>
          </cell>
          <cell r="AL102">
            <v>5545397</v>
          </cell>
          <cell r="AP102">
            <v>0</v>
          </cell>
          <cell r="AT102">
            <v>0</v>
          </cell>
          <cell r="AX102">
            <v>0</v>
          </cell>
          <cell r="AZ102">
            <v>54242679</v>
          </cell>
          <cell r="BA102">
            <v>20894982</v>
          </cell>
          <cell r="BB102">
            <v>25347257</v>
          </cell>
          <cell r="BC102">
            <v>45313425</v>
          </cell>
          <cell r="BE102">
            <v>18173533</v>
          </cell>
          <cell r="BF102">
            <v>17653687</v>
          </cell>
          <cell r="BG102">
            <v>7342569</v>
          </cell>
          <cell r="BH102">
            <v>14350382</v>
          </cell>
          <cell r="BI102">
            <v>16875125</v>
          </cell>
          <cell r="BJ102">
            <v>640011</v>
          </cell>
          <cell r="BK102">
            <v>6419992</v>
          </cell>
          <cell r="BL102">
            <v>13974303</v>
          </cell>
          <cell r="BM102">
            <v>19194021</v>
          </cell>
          <cell r="BN102">
            <v>2601284</v>
          </cell>
          <cell r="BO102">
            <v>11584696</v>
          </cell>
          <cell r="BP102">
            <v>16988740</v>
          </cell>
        </row>
        <row r="103">
          <cell r="D103">
            <v>2.3588364910172174E-2</v>
          </cell>
          <cell r="E103">
            <v>1.8573341730601128E-2</v>
          </cell>
          <cell r="F103">
            <v>1.6028645791059684E-2</v>
          </cell>
          <cell r="G103">
            <v>2.9929026011922162E-2</v>
          </cell>
          <cell r="H103">
            <v>3.4005318104745504E-2</v>
          </cell>
          <cell r="I103">
            <v>2.0881269355803877E-2</v>
          </cell>
          <cell r="J103">
            <v>1.8086545705596934E-2</v>
          </cell>
          <cell r="K103">
            <v>1.8956427366114192E-2</v>
          </cell>
          <cell r="L103">
            <v>1.7380650836881398E-2</v>
          </cell>
          <cell r="M103">
            <v>3.0859204800659491E-2</v>
          </cell>
          <cell r="N103">
            <v>1.5784243834581196E-2</v>
          </cell>
          <cell r="O103">
            <v>2.3533533827206292E-2</v>
          </cell>
          <cell r="P103">
            <v>-3.0860772179168373E-2</v>
          </cell>
          <cell r="Q103">
            <v>2.4001529361043633E-2</v>
          </cell>
          <cell r="R103">
            <v>1.9735672334746508E-2</v>
          </cell>
          <cell r="S103">
            <v>2.4622760357145151E-2</v>
          </cell>
          <cell r="T103">
            <v>4.3293122698221456E-2</v>
          </cell>
          <cell r="U103">
            <v>2.6371669198214657E-2</v>
          </cell>
          <cell r="V103">
            <v>2.1088848149030375E-2</v>
          </cell>
          <cell r="W103">
            <v>2.5573671579489126E-2</v>
          </cell>
          <cell r="X103">
            <v>0.28676497370729076</v>
          </cell>
          <cell r="Y103">
            <v>2.1809884716380248E-2</v>
          </cell>
          <cell r="Z103">
            <v>2.3682136084447681E-2</v>
          </cell>
          <cell r="AA103">
            <v>2.0718280533415991E-2</v>
          </cell>
          <cell r="AB103">
            <v>7.2579694663122141E-2</v>
          </cell>
          <cell r="AC103">
            <v>1.5639638238052787E-2</v>
          </cell>
          <cell r="AD103">
            <v>1.5372109184292351E-2</v>
          </cell>
          <cell r="AE103">
            <v>2.8417666894350279E-2</v>
          </cell>
          <cell r="AF103">
            <v>6.2450761884731247E-2</v>
          </cell>
          <cell r="AG103">
            <v>2.2944422641351228E-2</v>
          </cell>
          <cell r="AH103">
            <v>2.4808697615141602E-2</v>
          </cell>
          <cell r="AI103">
            <v>2.3432829940016678E-2</v>
          </cell>
          <cell r="AJ103">
            <v>-4.9151835651603058E-3</v>
          </cell>
          <cell r="AK103">
            <v>1.9248447764825306E-2</v>
          </cell>
          <cell r="AL103">
            <v>1.9885779319973762E-2</v>
          </cell>
          <cell r="AP103" t="e">
            <v>#DIV/0!</v>
          </cell>
          <cell r="AT103" t="e">
            <v>#DIV/0!</v>
          </cell>
          <cell r="AX103" t="e">
            <v>#DIV/0!</v>
          </cell>
          <cell r="AZ103">
            <v>2.3890526809834781E-2</v>
          </cell>
          <cell r="BA103">
            <v>2.6824006121015504E-2</v>
          </cell>
          <cell r="BB103">
            <v>2.1351309525017473E-2</v>
          </cell>
          <cell r="BC103">
            <v>1.9498731657375177E-2</v>
          </cell>
          <cell r="BE103">
            <v>2.3203137649853336E-2</v>
          </cell>
          <cell r="BF103">
            <v>2.5803853859214951E-2</v>
          </cell>
          <cell r="BG103">
            <v>2.2683410836137841E-2</v>
          </cell>
          <cell r="BH103">
            <v>1.6556795520141616E-2</v>
          </cell>
          <cell r="BI103">
            <v>2.4630311176243563E-2</v>
          </cell>
          <cell r="BJ103">
            <v>1.0866394198892388E-2</v>
          </cell>
          <cell r="BK103">
            <v>2.3948693812462563E-2</v>
          </cell>
          <cell r="BL103">
            <v>2.1558123646626612E-2</v>
          </cell>
          <cell r="BM103">
            <v>2.3888870366498362E-2</v>
          </cell>
          <cell r="BN103">
            <v>6.0003712364665743E-2</v>
          </cell>
          <cell r="BO103">
            <v>1.933330392323921E-2</v>
          </cell>
          <cell r="BP103">
            <v>1.9892081602412952E-2</v>
          </cell>
        </row>
        <row r="106">
          <cell r="D106">
            <v>578581.951627817</v>
          </cell>
          <cell r="E106">
            <v>402223.85188096703</v>
          </cell>
          <cell r="F106">
            <v>498460.79999999993</v>
          </cell>
          <cell r="G106">
            <v>518943.30235739844</v>
          </cell>
          <cell r="H106">
            <v>542650.51087209885</v>
          </cell>
          <cell r="I106">
            <v>347399.43327794102</v>
          </cell>
          <cell r="J106">
            <v>448386.86467255594</v>
          </cell>
          <cell r="K106">
            <v>539541.97678000014</v>
          </cell>
          <cell r="L106">
            <v>465539.30971195456</v>
          </cell>
          <cell r="M106">
            <v>369669.36299565202</v>
          </cell>
          <cell r="N106">
            <v>483007.96600877395</v>
          </cell>
          <cell r="O106">
            <v>508648.34857559454</v>
          </cell>
          <cell r="P106">
            <v>259066.958904233</v>
          </cell>
          <cell r="Q106">
            <v>373007.58514656598</v>
          </cell>
          <cell r="R106">
            <v>493326.75751307799</v>
          </cell>
          <cell r="S106">
            <v>508409.07930867019</v>
          </cell>
          <cell r="T106">
            <v>349501.45704714704</v>
          </cell>
          <cell r="U106">
            <v>375765.58195777901</v>
          </cell>
          <cell r="V106">
            <v>494686.41680425499</v>
          </cell>
          <cell r="W106">
            <v>504247.38195720222</v>
          </cell>
          <cell r="X106">
            <v>310203.24274300598</v>
          </cell>
          <cell r="Y106">
            <v>347072.39238432999</v>
          </cell>
          <cell r="Z106">
            <v>471265.94418898702</v>
          </cell>
          <cell r="AA106">
            <v>547872.23304802994</v>
          </cell>
          <cell r="AB106">
            <v>299737.82001522696</v>
          </cell>
          <cell r="AC106">
            <v>389880.320567685</v>
          </cell>
          <cell r="AD106">
            <v>546439.13319261896</v>
          </cell>
          <cell r="AE106">
            <v>518877.58123999002</v>
          </cell>
          <cell r="AF106">
            <v>320398.475733453</v>
          </cell>
          <cell r="AG106">
            <v>387942.82236126001</v>
          </cell>
          <cell r="AH106">
            <v>544932.20795874298</v>
          </cell>
          <cell r="AI106">
            <v>525042.01040176395</v>
          </cell>
          <cell r="AJ106">
            <v>337786.24130560004</v>
          </cell>
          <cell r="AK106">
            <v>400617.17295077897</v>
          </cell>
          <cell r="AL106">
            <v>533063.30566293001</v>
          </cell>
          <cell r="AP106">
            <v>0</v>
          </cell>
          <cell r="AT106">
            <v>0</v>
          </cell>
          <cell r="AX106">
            <v>0</v>
          </cell>
          <cell r="AZ106">
            <v>4716737.3326476905</v>
          </cell>
          <cell r="BA106">
            <v>3463465.9679605365</v>
          </cell>
          <cell r="BB106">
            <v>3393578.5235229591</v>
          </cell>
          <cell r="BC106">
            <v>4513569.3960019415</v>
          </cell>
          <cell r="BE106">
            <v>1603640.6981164396</v>
          </cell>
          <cell r="BF106">
            <v>1586771.7722118704</v>
          </cell>
          <cell r="BG106">
            <v>1119292.64815456</v>
          </cell>
          <cell r="BH106">
            <v>1429855.6306813299</v>
          </cell>
          <cell r="BI106">
            <v>1521304.8098414671</v>
          </cell>
          <cell r="BJ106">
            <v>918771.65869438602</v>
          </cell>
          <cell r="BK106">
            <v>1095845.5594886751</v>
          </cell>
          <cell r="BL106">
            <v>1459279.1185063198</v>
          </cell>
          <cell r="BM106">
            <v>1591791.8246897839</v>
          </cell>
          <cell r="BN106">
            <v>957922.53705427994</v>
          </cell>
          <cell r="BO106">
            <v>1178440.315879724</v>
          </cell>
          <cell r="BP106">
            <v>1624434.6468142918</v>
          </cell>
        </row>
        <row r="107">
          <cell r="D107">
            <v>290942.57437516499</v>
          </cell>
          <cell r="E107">
            <v>255328.09484730003</v>
          </cell>
          <cell r="F107">
            <v>266778.18631403701</v>
          </cell>
          <cell r="G107">
            <v>300699.71735255281</v>
          </cell>
          <cell r="H107">
            <v>284108.23839599872</v>
          </cell>
          <cell r="I107">
            <v>227872.7290008</v>
          </cell>
          <cell r="J107">
            <v>275876.13711468998</v>
          </cell>
          <cell r="K107">
            <v>313057.61560000008</v>
          </cell>
          <cell r="L107">
            <v>257292.60203339357</v>
          </cell>
          <cell r="M107">
            <v>248254.09395009998</v>
          </cell>
          <cell r="N107">
            <v>292901.42679428839</v>
          </cell>
          <cell r="O107">
            <v>284735.73284020857</v>
          </cell>
          <cell r="P107">
            <v>193687.116930527</v>
          </cell>
          <cell r="Q107">
            <v>264961.60541681701</v>
          </cell>
          <cell r="R107">
            <v>292580.709885752</v>
          </cell>
          <cell r="S107">
            <v>286873.5718402061</v>
          </cell>
          <cell r="T107">
            <v>274832.62749435898</v>
          </cell>
          <cell r="U107">
            <v>262287.9445716</v>
          </cell>
          <cell r="V107">
            <v>286846.72568536492</v>
          </cell>
          <cell r="W107">
            <v>277874.55073838274</v>
          </cell>
          <cell r="X107">
            <v>247698.36774053102</v>
          </cell>
          <cell r="Y107">
            <v>218110.16720356001</v>
          </cell>
          <cell r="Z107">
            <v>267726.7810083704</v>
          </cell>
          <cell r="AA107">
            <v>289484.21406999743</v>
          </cell>
          <cell r="AB107">
            <v>224474.51864816001</v>
          </cell>
          <cell r="AC107">
            <v>241848.21546166501</v>
          </cell>
          <cell r="AD107">
            <v>299896.55978338199</v>
          </cell>
          <cell r="AE107">
            <v>283031.84380512196</v>
          </cell>
          <cell r="AF107">
            <v>234778.54659555299</v>
          </cell>
          <cell r="AG107">
            <v>240201.89291075198</v>
          </cell>
          <cell r="AH107">
            <v>304311.74707415001</v>
          </cell>
          <cell r="AI107">
            <v>280666.31481641717</v>
          </cell>
          <cell r="AJ107">
            <v>237731.8494102</v>
          </cell>
          <cell r="AK107">
            <v>243434.30427371501</v>
          </cell>
          <cell r="AL107">
            <v>292728.56990288181</v>
          </cell>
          <cell r="AP107">
            <v>0</v>
          </cell>
          <cell r="AT107">
            <v>0</v>
          </cell>
          <cell r="AX107">
            <v>0</v>
          </cell>
          <cell r="AZ107">
            <v>2601433.4296843158</v>
          </cell>
          <cell r="BA107">
            <v>2245546.441623887</v>
          </cell>
          <cell r="BB107">
            <v>2202299.0476363092</v>
          </cell>
          <cell r="BC107">
            <v>2579646.8435629169</v>
          </cell>
          <cell r="BE107">
            <v>898767.2015739819</v>
          </cell>
          <cell r="BF107">
            <v>832343.41480455722</v>
          </cell>
          <cell r="BG107">
            <v>731454.91779820004</v>
          </cell>
          <cell r="BH107">
            <v>835555.75022301544</v>
          </cell>
          <cell r="BI107">
            <v>849483.85541879747</v>
          </cell>
          <cell r="BJ107">
            <v>716218.11216541694</v>
          </cell>
          <cell r="BK107">
            <v>745359.71719197696</v>
          </cell>
          <cell r="BL107">
            <v>847154.21657948731</v>
          </cell>
          <cell r="BM107">
            <v>853182.37269153656</v>
          </cell>
          <cell r="BN107">
            <v>696984.914653913</v>
          </cell>
          <cell r="BO107">
            <v>725484.41264613206</v>
          </cell>
          <cell r="BP107">
            <v>896936.87676041387</v>
          </cell>
        </row>
        <row r="108">
          <cell r="D108">
            <v>0.50285456287844754</v>
          </cell>
          <cell r="E108">
            <v>0.63479103403062509</v>
          </cell>
          <cell r="F108">
            <v>0.5352039444506711</v>
          </cell>
          <cell r="G108">
            <v>0.57944618609888066</v>
          </cell>
          <cell r="H108">
            <v>0.52355656671069128</v>
          </cell>
          <cell r="I108">
            <v>0.65593868950985801</v>
          </cell>
          <cell r="J108">
            <v>0.615263645861157</v>
          </cell>
          <cell r="K108">
            <v>0.58022846983720466</v>
          </cell>
          <cell r="L108">
            <v>0.55267642638510917</v>
          </cell>
          <cell r="M108">
            <v>0.67155712320422911</v>
          </cell>
          <cell r="N108">
            <v>0.60641117208606821</v>
          </cell>
          <cell r="O108">
            <v>0.55978896547600132</v>
          </cell>
          <cell r="P108">
            <v>0.74763342168279212</v>
          </cell>
          <cell r="Q108">
            <v>0.7103383844398381</v>
          </cell>
          <cell r="R108">
            <v>0.59307691186403111</v>
          </cell>
          <cell r="S108">
            <v>0.56425737366904238</v>
          </cell>
          <cell r="T108">
            <v>0.78635617091943799</v>
          </cell>
          <cell r="U108">
            <v>0.69800949625309394</v>
          </cell>
          <cell r="V108">
            <v>0.57985567410246641</v>
          </cell>
          <cell r="W108">
            <v>0.55106790968320229</v>
          </cell>
          <cell r="X108">
            <v>0.79850347646346698</v>
          </cell>
          <cell r="Y108">
            <v>0.62842845466670283</v>
          </cell>
          <cell r="Z108">
            <v>0.56810126916577408</v>
          </cell>
          <cell r="AA108">
            <v>0.52837905739351354</v>
          </cell>
          <cell r="AB108">
            <v>0.74890288665192972</v>
          </cell>
          <cell r="AC108">
            <v>0.62031398535202309</v>
          </cell>
          <cell r="AD108">
            <v>0.54881969750447746</v>
          </cell>
          <cell r="AE108">
            <v>0.54546940172043157</v>
          </cell>
          <cell r="AF108">
            <v>0.73277048543411538</v>
          </cell>
          <cell r="AG108">
            <v>0.61916828734898266</v>
          </cell>
          <cell r="AH108">
            <v>0.55843964190347428</v>
          </cell>
          <cell r="AI108">
            <v>0.53455972904272997</v>
          </cell>
          <cell r="AJ108">
            <v>0.7037937616740304</v>
          </cell>
          <cell r="AK108">
            <v>0.60764820060178515</v>
          </cell>
          <cell r="AL108">
            <v>0.5491441012598639</v>
          </cell>
          <cell r="AP108">
            <v>0</v>
          </cell>
          <cell r="AT108">
            <v>0</v>
          </cell>
          <cell r="AX108">
            <v>0</v>
          </cell>
          <cell r="AZ108">
            <v>0.55153239330883597</v>
          </cell>
          <cell r="BA108">
            <v>0.64835239104317754</v>
          </cell>
          <cell r="BB108">
            <v>0.64896068629938386</v>
          </cell>
          <cell r="BC108">
            <v>0.57153144600987704</v>
          </cell>
          <cell r="BE108">
            <v>0.56045422308727344</v>
          </cell>
          <cell r="BF108">
            <v>0.52455143794517933</v>
          </cell>
          <cell r="BG108">
            <v>0.65349747360906052</v>
          </cell>
          <cell r="BH108">
            <v>0.58436371637384887</v>
          </cell>
          <cell r="BI108">
            <v>0.55839161877580668</v>
          </cell>
          <cell r="BJ108">
            <v>0.77953875197151123</v>
          </cell>
          <cell r="BK108">
            <v>0.68016857917439033</v>
          </cell>
          <cell r="BL108">
            <v>0.58052925299624125</v>
          </cell>
          <cell r="BM108">
            <v>0.53598866350366448</v>
          </cell>
          <cell r="BN108">
            <v>0.72760049763232459</v>
          </cell>
          <cell r="BO108">
            <v>0.61563101912763962</v>
          </cell>
          <cell r="BP108">
            <v>0.55215325437647678</v>
          </cell>
        </row>
        <row r="109">
          <cell r="D109">
            <v>30.974944420407734</v>
          </cell>
          <cell r="E109">
            <v>46.449810906694715</v>
          </cell>
          <cell r="F109">
            <v>51.353719139963459</v>
          </cell>
          <cell r="G109">
            <v>28.621398150382447</v>
          </cell>
          <cell r="H109">
            <v>28.748627777975489</v>
          </cell>
          <cell r="I109">
            <v>47.323138851933621</v>
          </cell>
          <cell r="J109">
            <v>51.263834179600146</v>
          </cell>
          <cell r="K109">
            <v>28.980444017987878</v>
          </cell>
          <cell r="L109">
            <v>31.323435567965451</v>
          </cell>
          <cell r="M109">
            <v>47.848317931426863</v>
          </cell>
          <cell r="N109">
            <v>51.987745526189208</v>
          </cell>
          <cell r="O109">
            <v>32.76049946739554</v>
          </cell>
          <cell r="P109">
            <v>47.019242873301877</v>
          </cell>
          <cell r="Q109">
            <v>51.36149747301446</v>
          </cell>
          <cell r="R109">
            <v>54.772869726704783</v>
          </cell>
          <cell r="S109">
            <v>32.914262753002802</v>
          </cell>
          <cell r="T109">
            <v>46.820024135305815</v>
          </cell>
          <cell r="U109">
            <v>51.408178181052747</v>
          </cell>
          <cell r="V109">
            <v>56.464621826558172</v>
          </cell>
          <cell r="W109">
            <v>29.350193788052177</v>
          </cell>
          <cell r="X109">
            <v>39.960219194968936</v>
          </cell>
          <cell r="Y109">
            <v>45.497893618064076</v>
          </cell>
          <cell r="Z109">
            <v>52.518856916647039</v>
          </cell>
          <cell r="AA109">
            <v>29.114202005703362</v>
          </cell>
          <cell r="AB109">
            <v>42.696486144643927</v>
          </cell>
          <cell r="AC109">
            <v>50.43696049531323</v>
          </cell>
          <cell r="AD109">
            <v>44.542466212137946</v>
          </cell>
          <cell r="AE109">
            <v>29.79194008036659</v>
          </cell>
          <cell r="AF109">
            <v>39.778807603555187</v>
          </cell>
          <cell r="AG109">
            <v>47.375219607353159</v>
          </cell>
          <cell r="AH109">
            <v>44.938506363979471</v>
          </cell>
          <cell r="AI109">
            <v>29.604437088527369</v>
          </cell>
          <cell r="AJ109">
            <v>39.843138447044531</v>
          </cell>
          <cell r="AK109">
            <v>51.619818522886909</v>
          </cell>
          <cell r="AL109">
            <v>48.549249666951241</v>
          </cell>
          <cell r="AP109" t="e">
            <v>#DIV/0!</v>
          </cell>
          <cell r="AT109" t="e">
            <v>#DIV/0!</v>
          </cell>
          <cell r="AX109" t="e">
            <v>#DIV/0!</v>
          </cell>
          <cell r="AZ109">
            <v>30.154436374693265</v>
          </cell>
          <cell r="BA109">
            <v>38.078606808167834</v>
          </cell>
          <cell r="BB109">
            <v>48.895266869440427</v>
          </cell>
          <cell r="BC109">
            <v>50.626265938091954</v>
          </cell>
          <cell r="BE109">
            <v>29.317527450494939</v>
          </cell>
          <cell r="BF109">
            <v>30.32274882950508</v>
          </cell>
          <cell r="BG109">
            <v>47.196395150253856</v>
          </cell>
          <cell r="BH109">
            <v>51.546297693169585</v>
          </cell>
          <cell r="BI109">
            <v>31.696881212846588</v>
          </cell>
          <cell r="BJ109">
            <v>44.501350039340856</v>
          </cell>
          <cell r="BK109">
            <v>49.662226904666944</v>
          </cell>
          <cell r="BL109">
            <v>54.633360247602738</v>
          </cell>
          <cell r="BM109">
            <v>29.500302259907627</v>
          </cell>
          <cell r="BN109">
            <v>40.740719349967527</v>
          </cell>
          <cell r="BO109">
            <v>49.820148158489737</v>
          </cell>
          <cell r="BP109">
            <v>45.984507112304797</v>
          </cell>
        </row>
        <row r="110">
          <cell r="D110">
            <v>78598.36679</v>
          </cell>
          <cell r="E110">
            <v>66549.939210500001</v>
          </cell>
          <cell r="F110">
            <v>69394.644</v>
          </cell>
          <cell r="G110">
            <v>70525.017319999999</v>
          </cell>
          <cell r="H110">
            <v>78744.292350000003</v>
          </cell>
          <cell r="I110">
            <v>59713.177498499994</v>
          </cell>
          <cell r="J110">
            <v>69934.989609600001</v>
          </cell>
          <cell r="K110">
            <v>76624.509669999999</v>
          </cell>
          <cell r="L110">
            <v>68694.071069999991</v>
          </cell>
          <cell r="M110">
            <v>65979.6954329</v>
          </cell>
          <cell r="N110">
            <v>75821.321437071005</v>
          </cell>
          <cell r="O110">
            <v>74177.315870000006</v>
          </cell>
          <cell r="P110">
            <v>48479.126035800007</v>
          </cell>
          <cell r="Q110">
            <v>70666.665649999995</v>
          </cell>
          <cell r="R110">
            <v>77020.168000878999</v>
          </cell>
          <cell r="S110">
            <v>75844.153829999996</v>
          </cell>
          <cell r="T110">
            <v>61138.3099114</v>
          </cell>
          <cell r="U110">
            <v>69351.069855900001</v>
          </cell>
          <cell r="V110">
            <v>73648.62953463319</v>
          </cell>
          <cell r="W110">
            <v>70082.016650000005</v>
          </cell>
          <cell r="X110">
            <v>58292.474352699996</v>
          </cell>
          <cell r="Y110">
            <v>58718.144111599999</v>
          </cell>
          <cell r="Z110">
            <v>68400.7108088026</v>
          </cell>
          <cell r="AA110">
            <v>74934.213539999997</v>
          </cell>
          <cell r="AB110">
            <v>57285.309681700004</v>
          </cell>
          <cell r="AC110">
            <v>66077.98637921999</v>
          </cell>
          <cell r="AD110">
            <v>75904.476821254997</v>
          </cell>
          <cell r="AE110">
            <v>75863.769750000007</v>
          </cell>
          <cell r="AF110">
            <v>59633.222628399999</v>
          </cell>
          <cell r="AG110">
            <v>64190.831609871995</v>
          </cell>
          <cell r="AH110">
            <v>76810.738720103298</v>
          </cell>
          <cell r="AI110">
            <v>74017.622667099989</v>
          </cell>
          <cell r="AJ110">
            <v>61544.329231700001</v>
          </cell>
          <cell r="AK110">
            <v>64189.396658400001</v>
          </cell>
          <cell r="AL110">
            <v>74004.818526904448</v>
          </cell>
          <cell r="AP110">
            <v>0</v>
          </cell>
          <cell r="AT110">
            <v>0</v>
          </cell>
          <cell r="AX110">
            <v>0</v>
          </cell>
          <cell r="AZ110">
            <v>659665.84097709996</v>
          </cell>
          <cell r="BA110">
            <v>572409.50205170014</v>
          </cell>
          <cell r="BB110">
            <v>585436.906406892</v>
          </cell>
          <cell r="BC110">
            <v>660940.49745924864</v>
          </cell>
          <cell r="BE110">
            <v>214746.74867</v>
          </cell>
          <cell r="BF110">
            <v>226036.73021000001</v>
          </cell>
          <cell r="BG110">
            <v>192242.81214190001</v>
          </cell>
          <cell r="BH110">
            <v>215150.95504667104</v>
          </cell>
          <cell r="BI110">
            <v>220103.48635000002</v>
          </cell>
          <cell r="BJ110">
            <v>167909.91029989999</v>
          </cell>
          <cell r="BK110">
            <v>198735.8796175</v>
          </cell>
          <cell r="BL110">
            <v>219069.50834431479</v>
          </cell>
          <cell r="BM110">
            <v>224815.60595709999</v>
          </cell>
          <cell r="BN110">
            <v>178462.86154180003</v>
          </cell>
          <cell r="BO110">
            <v>194458.21464749199</v>
          </cell>
          <cell r="BP110">
            <v>226720.03406826273</v>
          </cell>
        </row>
        <row r="111">
          <cell r="D111">
            <v>1.84211072695247E-2</v>
          </cell>
          <cell r="E111">
            <v>1.0223381346488225E-2</v>
          </cell>
          <cell r="F111">
            <v>1.0321505820319292E-2</v>
          </cell>
          <cell r="G111">
            <v>7.1718639733147046E-3</v>
          </cell>
          <cell r="H111">
            <v>1.5160515605644404E-2</v>
          </cell>
          <cell r="I111">
            <v>1.4500958259968012E-2</v>
          </cell>
          <cell r="J111">
            <v>9.1376826166593549E-3</v>
          </cell>
          <cell r="K111">
            <v>1.292687361975229E-2</v>
          </cell>
          <cell r="L111">
            <v>1.5611384364672418E-2</v>
          </cell>
          <cell r="M111">
            <v>7.6151506660641823E-3</v>
          </cell>
          <cell r="N111">
            <v>8.1800749316256506E-3</v>
          </cell>
          <cell r="O111">
            <v>5.197135774251016E-3</v>
          </cell>
          <cell r="P111">
            <v>1.5591928162634845E-2</v>
          </cell>
          <cell r="Q111">
            <v>1.3186192950559492E-2</v>
          </cell>
          <cell r="R111">
            <v>1.0206386072352948E-2</v>
          </cell>
          <cell r="S111">
            <v>1.2266636110730963E-2</v>
          </cell>
          <cell r="T111">
            <v>1.4332835660509885E-2</v>
          </cell>
          <cell r="U111">
            <v>9.8505277402826438E-3</v>
          </cell>
          <cell r="V111">
            <v>1.1043902991845499E-2</v>
          </cell>
          <cell r="W111">
            <v>1.6168311406920089E-2</v>
          </cell>
          <cell r="X111">
            <v>1.2903198444345048E-2</v>
          </cell>
          <cell r="Y111">
            <v>1.236928857220165E-2</v>
          </cell>
          <cell r="Z111">
            <v>1.1303596057278615E-2</v>
          </cell>
          <cell r="AA111">
            <v>1.3527453978812212E-2</v>
          </cell>
          <cell r="AB111">
            <v>8.2177102140006692E-3</v>
          </cell>
          <cell r="AC111">
            <v>1.2490716241305948E-2</v>
          </cell>
          <cell r="AD111">
            <v>1.1204612271223189E-2</v>
          </cell>
          <cell r="AE111">
            <v>1.3075086518005319E-2</v>
          </cell>
          <cell r="AF111">
            <v>1.0214879928847398E-2</v>
          </cell>
          <cell r="AG111">
            <v>1.1079550767992895E-2</v>
          </cell>
          <cell r="AH111">
            <v>8.9611264217417698E-3</v>
          </cell>
          <cell r="AI111">
            <v>1.9859764286143198E-2</v>
          </cell>
          <cell r="AJ111">
            <v>1.1962449358268337E-2</v>
          </cell>
          <cell r="AK111">
            <v>1.2090915131885933E-2</v>
          </cell>
          <cell r="AL111">
            <v>1.0011475273877463E-2</v>
          </cell>
          <cell r="AP111" t="e">
            <v>#DIV/0!</v>
          </cell>
          <cell r="AT111" t="e">
            <v>#DIV/0!</v>
          </cell>
          <cell r="AX111" t="e">
            <v>#DIV/0!</v>
          </cell>
          <cell r="AZ111">
            <v>1.3533432102724204E-2</v>
          </cell>
          <cell r="BA111">
            <v>1.3534101410950952E-2</v>
          </cell>
          <cell r="BB111">
            <v>1.1454797951007144E-2</v>
          </cell>
          <cell r="BC111">
            <v>1.0038967351050884E-2</v>
          </cell>
          <cell r="BE111">
            <v>1.4276658490201006E-2</v>
          </cell>
          <cell r="BF111">
            <v>1.646872842880449E-2</v>
          </cell>
          <cell r="BG111">
            <v>1.0662143193456953E-2</v>
          </cell>
          <cell r="BH111">
            <v>9.1756831255804683E-3</v>
          </cell>
          <cell r="BI111">
            <v>1.0999306046957372E-2</v>
          </cell>
          <cell r="BJ111">
            <v>1.4248667972877285E-2</v>
          </cell>
          <cell r="BK111">
            <v>1.1752087356128253E-2</v>
          </cell>
          <cell r="BL111">
            <v>1.083280663939761E-2</v>
          </cell>
          <cell r="BM111">
            <v>1.5466359177875885E-2</v>
          </cell>
          <cell r="BN111">
            <v>1.012365068564345E-2</v>
          </cell>
          <cell r="BO111">
            <v>1.1907421948839409E-2</v>
          </cell>
          <cell r="BP111">
            <v>1.0049642870051704E-2</v>
          </cell>
        </row>
        <row r="115">
          <cell r="AZ115">
            <v>0</v>
          </cell>
          <cell r="BA115">
            <v>0</v>
          </cell>
          <cell r="BB115">
            <v>0</v>
          </cell>
          <cell r="BC115">
            <v>0</v>
          </cell>
          <cell r="BE115">
            <v>0</v>
          </cell>
          <cell r="BF115">
            <v>0</v>
          </cell>
          <cell r="BG115">
            <v>0</v>
          </cell>
          <cell r="BH115">
            <v>0</v>
          </cell>
          <cell r="BI115">
            <v>0</v>
          </cell>
          <cell r="BJ115">
            <v>0</v>
          </cell>
          <cell r="BK115">
            <v>0</v>
          </cell>
          <cell r="BL115">
            <v>0</v>
          </cell>
          <cell r="BM115">
            <v>0</v>
          </cell>
          <cell r="BN115">
            <v>0</v>
          </cell>
          <cell r="BO115">
            <v>0</v>
          </cell>
          <cell r="BP115">
            <v>0</v>
          </cell>
        </row>
        <row r="116">
          <cell r="AZ116">
            <v>0</v>
          </cell>
          <cell r="BA116">
            <v>0</v>
          </cell>
          <cell r="BB116">
            <v>0</v>
          </cell>
          <cell r="BC116">
            <v>0</v>
          </cell>
          <cell r="BE116">
            <v>0</v>
          </cell>
          <cell r="BF116">
            <v>0</v>
          </cell>
          <cell r="BG116">
            <v>0</v>
          </cell>
          <cell r="BH116">
            <v>0</v>
          </cell>
          <cell r="BI116">
            <v>0</v>
          </cell>
          <cell r="BJ116">
            <v>0</v>
          </cell>
          <cell r="BK116">
            <v>0</v>
          </cell>
          <cell r="BL116">
            <v>0</v>
          </cell>
          <cell r="BM116">
            <v>0</v>
          </cell>
          <cell r="BN116">
            <v>0</v>
          </cell>
          <cell r="BO116">
            <v>0</v>
          </cell>
          <cell r="BP116">
            <v>0</v>
          </cell>
        </row>
        <row r="117">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P117">
            <v>0</v>
          </cell>
          <cell r="AT117">
            <v>0</v>
          </cell>
          <cell r="AX117">
            <v>0</v>
          </cell>
          <cell r="AZ117">
            <v>0</v>
          </cell>
          <cell r="BA117">
            <v>0</v>
          </cell>
          <cell r="BB117">
            <v>0</v>
          </cell>
          <cell r="BC117">
            <v>0</v>
          </cell>
          <cell r="BE117">
            <v>0</v>
          </cell>
          <cell r="BF117">
            <v>0</v>
          </cell>
          <cell r="BG117">
            <v>0</v>
          </cell>
          <cell r="BH117">
            <v>0</v>
          </cell>
          <cell r="BI117">
            <v>0</v>
          </cell>
          <cell r="BJ117">
            <v>0</v>
          </cell>
          <cell r="BK117">
            <v>0</v>
          </cell>
          <cell r="BL117">
            <v>0</v>
          </cell>
          <cell r="BM117">
            <v>0</v>
          </cell>
          <cell r="BN117">
            <v>0</v>
          </cell>
          <cell r="BO117">
            <v>0</v>
          </cell>
          <cell r="BP117">
            <v>0</v>
          </cell>
        </row>
        <row r="118">
          <cell r="AZ118">
            <v>0</v>
          </cell>
          <cell r="BA118">
            <v>0</v>
          </cell>
          <cell r="BB118">
            <v>0</v>
          </cell>
          <cell r="BC118">
            <v>0</v>
          </cell>
          <cell r="BE118">
            <v>0</v>
          </cell>
          <cell r="BF118">
            <v>0</v>
          </cell>
          <cell r="BG118">
            <v>0</v>
          </cell>
          <cell r="BH118">
            <v>0</v>
          </cell>
          <cell r="BI118">
            <v>0</v>
          </cell>
          <cell r="BJ118">
            <v>0</v>
          </cell>
          <cell r="BK118">
            <v>0</v>
          </cell>
          <cell r="BL118">
            <v>0</v>
          </cell>
          <cell r="BM118">
            <v>0</v>
          </cell>
          <cell r="BN118">
            <v>0</v>
          </cell>
          <cell r="BO118">
            <v>0</v>
          </cell>
          <cell r="BP118">
            <v>0</v>
          </cell>
        </row>
        <row r="121">
          <cell r="AZ121">
            <v>0</v>
          </cell>
          <cell r="BA121">
            <v>0</v>
          </cell>
          <cell r="BB121">
            <v>0</v>
          </cell>
          <cell r="BC121">
            <v>0</v>
          </cell>
          <cell r="BE121">
            <v>0</v>
          </cell>
          <cell r="BF121">
            <v>0</v>
          </cell>
          <cell r="BG121">
            <v>0</v>
          </cell>
          <cell r="BH121">
            <v>0</v>
          </cell>
          <cell r="BI121">
            <v>0</v>
          </cell>
          <cell r="BJ121">
            <v>0</v>
          </cell>
          <cell r="BK121">
            <v>0</v>
          </cell>
          <cell r="BL121">
            <v>0</v>
          </cell>
          <cell r="BM121">
            <v>0</v>
          </cell>
          <cell r="BN121">
            <v>0</v>
          </cell>
          <cell r="BO121">
            <v>0</v>
          </cell>
          <cell r="BP121">
            <v>0</v>
          </cell>
        </row>
        <row r="122">
          <cell r="AZ122">
            <v>0</v>
          </cell>
          <cell r="BA122">
            <v>0</v>
          </cell>
          <cell r="BB122">
            <v>0</v>
          </cell>
          <cell r="BC122">
            <v>0</v>
          </cell>
          <cell r="BE122">
            <v>0</v>
          </cell>
          <cell r="BF122">
            <v>0</v>
          </cell>
          <cell r="BG122">
            <v>0</v>
          </cell>
          <cell r="BH122">
            <v>0</v>
          </cell>
          <cell r="BI122">
            <v>0</v>
          </cell>
          <cell r="BJ122">
            <v>0</v>
          </cell>
          <cell r="BK122">
            <v>0</v>
          </cell>
          <cell r="BL122">
            <v>0</v>
          </cell>
          <cell r="BM122">
            <v>0</v>
          </cell>
          <cell r="BN122">
            <v>0</v>
          </cell>
          <cell r="BO122">
            <v>0</v>
          </cell>
          <cell r="BP122">
            <v>0</v>
          </cell>
        </row>
        <row r="123">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P123">
            <v>0</v>
          </cell>
          <cell r="AT123">
            <v>0</v>
          </cell>
          <cell r="AX123">
            <v>0</v>
          </cell>
          <cell r="AZ123">
            <v>0</v>
          </cell>
          <cell r="BA123">
            <v>0</v>
          </cell>
          <cell r="BB123">
            <v>0</v>
          </cell>
          <cell r="BC123">
            <v>0</v>
          </cell>
          <cell r="BE123">
            <v>0</v>
          </cell>
          <cell r="BF123">
            <v>0</v>
          </cell>
          <cell r="BG123">
            <v>0</v>
          </cell>
          <cell r="BH123">
            <v>0</v>
          </cell>
          <cell r="BI123">
            <v>0</v>
          </cell>
          <cell r="BJ123">
            <v>0</v>
          </cell>
          <cell r="BK123">
            <v>0</v>
          </cell>
          <cell r="BL123">
            <v>0</v>
          </cell>
          <cell r="BM123">
            <v>0</v>
          </cell>
          <cell r="BN123">
            <v>0</v>
          </cell>
          <cell r="BO123">
            <v>0</v>
          </cell>
          <cell r="BP123">
            <v>0</v>
          </cell>
        </row>
        <row r="124">
          <cell r="AZ124">
            <v>0</v>
          </cell>
          <cell r="BA124">
            <v>0</v>
          </cell>
          <cell r="BB124">
            <v>0</v>
          </cell>
          <cell r="BC124">
            <v>0</v>
          </cell>
          <cell r="BE124">
            <v>0</v>
          </cell>
          <cell r="BF124">
            <v>0</v>
          </cell>
          <cell r="BG124">
            <v>0</v>
          </cell>
          <cell r="BH124">
            <v>0</v>
          </cell>
          <cell r="BI124">
            <v>0</v>
          </cell>
          <cell r="BJ124">
            <v>0</v>
          </cell>
          <cell r="BK124">
            <v>0</v>
          </cell>
          <cell r="BL124">
            <v>0</v>
          </cell>
          <cell r="BM124">
            <v>0</v>
          </cell>
          <cell r="BN124">
            <v>0</v>
          </cell>
          <cell r="BO124">
            <v>0</v>
          </cell>
          <cell r="BP124">
            <v>0</v>
          </cell>
        </row>
        <row r="127">
          <cell r="AZ127">
            <v>0</v>
          </cell>
          <cell r="BA127">
            <v>0</v>
          </cell>
          <cell r="BB127">
            <v>0</v>
          </cell>
          <cell r="BC127">
            <v>0</v>
          </cell>
          <cell r="BE127">
            <v>0</v>
          </cell>
          <cell r="BF127">
            <v>0</v>
          </cell>
          <cell r="BG127">
            <v>0</v>
          </cell>
          <cell r="BH127">
            <v>0</v>
          </cell>
          <cell r="BI127">
            <v>0</v>
          </cell>
          <cell r="BJ127">
            <v>0</v>
          </cell>
          <cell r="BK127">
            <v>0</v>
          </cell>
          <cell r="BL127">
            <v>0</v>
          </cell>
          <cell r="BM127">
            <v>0</v>
          </cell>
          <cell r="BN127">
            <v>0</v>
          </cell>
          <cell r="BO127">
            <v>0</v>
          </cell>
          <cell r="BP127">
            <v>0</v>
          </cell>
        </row>
        <row r="128">
          <cell r="AZ128">
            <v>0</v>
          </cell>
          <cell r="BA128">
            <v>0</v>
          </cell>
          <cell r="BB128">
            <v>0</v>
          </cell>
          <cell r="BC128">
            <v>0</v>
          </cell>
          <cell r="BE128">
            <v>0</v>
          </cell>
          <cell r="BF128">
            <v>0</v>
          </cell>
          <cell r="BG128">
            <v>0</v>
          </cell>
          <cell r="BH128">
            <v>0</v>
          </cell>
          <cell r="BI128">
            <v>0</v>
          </cell>
          <cell r="BJ128">
            <v>0</v>
          </cell>
          <cell r="BK128">
            <v>0</v>
          </cell>
          <cell r="BL128">
            <v>0</v>
          </cell>
          <cell r="BM128">
            <v>0</v>
          </cell>
          <cell r="BN128">
            <v>0</v>
          </cell>
          <cell r="BO128">
            <v>0</v>
          </cell>
          <cell r="BP128">
            <v>0</v>
          </cell>
        </row>
        <row r="129">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P129">
            <v>0</v>
          </cell>
          <cell r="AT129">
            <v>0</v>
          </cell>
          <cell r="AX129">
            <v>0</v>
          </cell>
          <cell r="AZ129">
            <v>0</v>
          </cell>
          <cell r="BA129">
            <v>0</v>
          </cell>
          <cell r="BB129">
            <v>0</v>
          </cell>
          <cell r="BC129">
            <v>0</v>
          </cell>
          <cell r="BE129">
            <v>0</v>
          </cell>
          <cell r="BF129">
            <v>0</v>
          </cell>
          <cell r="BG129">
            <v>0</v>
          </cell>
          <cell r="BH129">
            <v>0</v>
          </cell>
          <cell r="BI129">
            <v>0</v>
          </cell>
          <cell r="BJ129">
            <v>0</v>
          </cell>
          <cell r="BK129">
            <v>0</v>
          </cell>
          <cell r="BL129">
            <v>0</v>
          </cell>
          <cell r="BM129">
            <v>0</v>
          </cell>
          <cell r="BN129">
            <v>0</v>
          </cell>
          <cell r="BO129">
            <v>0</v>
          </cell>
          <cell r="BP129">
            <v>0</v>
          </cell>
        </row>
        <row r="130">
          <cell r="AZ130">
            <v>0</v>
          </cell>
          <cell r="BA130">
            <v>0</v>
          </cell>
          <cell r="BB130">
            <v>0</v>
          </cell>
          <cell r="BC130">
            <v>0</v>
          </cell>
          <cell r="BE130">
            <v>0</v>
          </cell>
          <cell r="BF130">
            <v>0</v>
          </cell>
          <cell r="BG130">
            <v>0</v>
          </cell>
          <cell r="BH130">
            <v>0</v>
          </cell>
          <cell r="BI130">
            <v>0</v>
          </cell>
          <cell r="BJ130">
            <v>0</v>
          </cell>
          <cell r="BK130">
            <v>0</v>
          </cell>
          <cell r="BL130">
            <v>0</v>
          </cell>
          <cell r="BM130">
            <v>0</v>
          </cell>
          <cell r="BN130">
            <v>0</v>
          </cell>
          <cell r="BO130">
            <v>0</v>
          </cell>
          <cell r="BP130">
            <v>0</v>
          </cell>
        </row>
        <row r="133">
          <cell r="AZ133">
            <v>0</v>
          </cell>
          <cell r="BA133">
            <v>0</v>
          </cell>
          <cell r="BB133">
            <v>0</v>
          </cell>
          <cell r="BC133">
            <v>0</v>
          </cell>
          <cell r="BE133">
            <v>0</v>
          </cell>
          <cell r="BF133">
            <v>0</v>
          </cell>
          <cell r="BG133">
            <v>0</v>
          </cell>
          <cell r="BH133">
            <v>0</v>
          </cell>
          <cell r="BI133">
            <v>0</v>
          </cell>
          <cell r="BJ133">
            <v>0</v>
          </cell>
          <cell r="BK133">
            <v>0</v>
          </cell>
          <cell r="BL133">
            <v>0</v>
          </cell>
          <cell r="BM133">
            <v>0</v>
          </cell>
          <cell r="BN133">
            <v>0</v>
          </cell>
          <cell r="BO133">
            <v>0</v>
          </cell>
          <cell r="BP133">
            <v>0</v>
          </cell>
        </row>
        <row r="134">
          <cell r="AZ134">
            <v>0</v>
          </cell>
          <cell r="BA134">
            <v>0</v>
          </cell>
          <cell r="BB134">
            <v>0</v>
          </cell>
          <cell r="BC134">
            <v>0</v>
          </cell>
          <cell r="BE134">
            <v>0</v>
          </cell>
          <cell r="BF134">
            <v>0</v>
          </cell>
          <cell r="BG134">
            <v>0</v>
          </cell>
          <cell r="BH134">
            <v>0</v>
          </cell>
          <cell r="BI134">
            <v>0</v>
          </cell>
          <cell r="BJ134">
            <v>0</v>
          </cell>
          <cell r="BK134">
            <v>0</v>
          </cell>
          <cell r="BL134">
            <v>0</v>
          </cell>
          <cell r="BM134">
            <v>0</v>
          </cell>
          <cell r="BN134">
            <v>0</v>
          </cell>
          <cell r="BO134">
            <v>0</v>
          </cell>
          <cell r="BP134">
            <v>0</v>
          </cell>
        </row>
        <row r="135">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P135">
            <v>0</v>
          </cell>
          <cell r="AT135">
            <v>0</v>
          </cell>
          <cell r="AX135">
            <v>0</v>
          </cell>
          <cell r="AZ135">
            <v>0</v>
          </cell>
          <cell r="BA135">
            <v>0</v>
          </cell>
          <cell r="BB135">
            <v>0</v>
          </cell>
          <cell r="BC135">
            <v>0</v>
          </cell>
          <cell r="BE135">
            <v>0</v>
          </cell>
          <cell r="BF135">
            <v>0</v>
          </cell>
          <cell r="BG135">
            <v>0</v>
          </cell>
          <cell r="BH135">
            <v>0</v>
          </cell>
          <cell r="BI135">
            <v>0</v>
          </cell>
          <cell r="BJ135">
            <v>0</v>
          </cell>
          <cell r="BK135">
            <v>0</v>
          </cell>
          <cell r="BL135">
            <v>0</v>
          </cell>
          <cell r="BM135">
            <v>0</v>
          </cell>
          <cell r="BN135">
            <v>0</v>
          </cell>
          <cell r="BO135">
            <v>0</v>
          </cell>
          <cell r="BP135">
            <v>0</v>
          </cell>
        </row>
        <row r="136">
          <cell r="AZ136">
            <v>0</v>
          </cell>
          <cell r="BA136">
            <v>0</v>
          </cell>
          <cell r="BB136">
            <v>0</v>
          </cell>
          <cell r="BC136">
            <v>0</v>
          </cell>
          <cell r="BE136">
            <v>0</v>
          </cell>
          <cell r="BF136">
            <v>0</v>
          </cell>
          <cell r="BG136">
            <v>0</v>
          </cell>
          <cell r="BH136">
            <v>0</v>
          </cell>
          <cell r="BI136">
            <v>0</v>
          </cell>
          <cell r="BJ136">
            <v>0</v>
          </cell>
          <cell r="BK136">
            <v>0</v>
          </cell>
          <cell r="BL136">
            <v>0</v>
          </cell>
          <cell r="BM136">
            <v>0</v>
          </cell>
          <cell r="BN136">
            <v>0</v>
          </cell>
          <cell r="BO136">
            <v>0</v>
          </cell>
          <cell r="BP136">
            <v>0</v>
          </cell>
        </row>
        <row r="139">
          <cell r="AZ139">
            <v>0</v>
          </cell>
          <cell r="BA139">
            <v>0</v>
          </cell>
          <cell r="BB139">
            <v>0</v>
          </cell>
          <cell r="BC139">
            <v>0</v>
          </cell>
          <cell r="BE139">
            <v>0</v>
          </cell>
          <cell r="BF139">
            <v>0</v>
          </cell>
          <cell r="BG139">
            <v>0</v>
          </cell>
          <cell r="BH139">
            <v>0</v>
          </cell>
          <cell r="BI139">
            <v>0</v>
          </cell>
          <cell r="BJ139">
            <v>0</v>
          </cell>
          <cell r="BK139">
            <v>0</v>
          </cell>
          <cell r="BL139">
            <v>0</v>
          </cell>
          <cell r="BM139">
            <v>0</v>
          </cell>
          <cell r="BN139">
            <v>0</v>
          </cell>
          <cell r="BO139">
            <v>0</v>
          </cell>
          <cell r="BP139">
            <v>0</v>
          </cell>
        </row>
        <row r="140">
          <cell r="AZ140">
            <v>0</v>
          </cell>
          <cell r="BA140">
            <v>0</v>
          </cell>
          <cell r="BB140">
            <v>0</v>
          </cell>
          <cell r="BC140">
            <v>0</v>
          </cell>
          <cell r="BE140">
            <v>0</v>
          </cell>
          <cell r="BF140">
            <v>0</v>
          </cell>
          <cell r="BG140">
            <v>0</v>
          </cell>
          <cell r="BH140">
            <v>0</v>
          </cell>
          <cell r="BI140">
            <v>0</v>
          </cell>
          <cell r="BJ140">
            <v>0</v>
          </cell>
          <cell r="BK140">
            <v>0</v>
          </cell>
          <cell r="BL140">
            <v>0</v>
          </cell>
          <cell r="BM140">
            <v>0</v>
          </cell>
          <cell r="BN140">
            <v>0</v>
          </cell>
          <cell r="BO140">
            <v>0</v>
          </cell>
          <cell r="BP140">
            <v>0</v>
          </cell>
        </row>
        <row r="141">
          <cell r="AZ141">
            <v>0</v>
          </cell>
          <cell r="BA141">
            <v>0</v>
          </cell>
          <cell r="BB141">
            <v>0</v>
          </cell>
          <cell r="BC141">
            <v>0</v>
          </cell>
          <cell r="BE141">
            <v>0</v>
          </cell>
          <cell r="BF141">
            <v>0</v>
          </cell>
          <cell r="BG141">
            <v>0</v>
          </cell>
          <cell r="BH141">
            <v>0</v>
          </cell>
          <cell r="BI141">
            <v>0</v>
          </cell>
          <cell r="BJ141">
            <v>0</v>
          </cell>
          <cell r="BK141">
            <v>0</v>
          </cell>
          <cell r="BL141">
            <v>0</v>
          </cell>
          <cell r="BM141">
            <v>0</v>
          </cell>
          <cell r="BN141">
            <v>0</v>
          </cell>
          <cell r="BO141">
            <v>0</v>
          </cell>
          <cell r="BP141">
            <v>0</v>
          </cell>
        </row>
        <row r="142">
          <cell r="AZ142">
            <v>0</v>
          </cell>
          <cell r="BA142">
            <v>0</v>
          </cell>
          <cell r="BB142">
            <v>0</v>
          </cell>
          <cell r="BC142">
            <v>0</v>
          </cell>
          <cell r="BE142">
            <v>0</v>
          </cell>
          <cell r="BF142">
            <v>0</v>
          </cell>
          <cell r="BG142">
            <v>0</v>
          </cell>
          <cell r="BH142">
            <v>0</v>
          </cell>
          <cell r="BI142">
            <v>0</v>
          </cell>
          <cell r="BJ142">
            <v>0</v>
          </cell>
          <cell r="BK142">
            <v>0</v>
          </cell>
          <cell r="BL142">
            <v>0</v>
          </cell>
          <cell r="BM142">
            <v>0</v>
          </cell>
          <cell r="BN142">
            <v>0</v>
          </cell>
          <cell r="BO142">
            <v>0</v>
          </cell>
          <cell r="BP142">
            <v>0</v>
          </cell>
        </row>
        <row r="145">
          <cell r="AZ145">
            <v>0</v>
          </cell>
          <cell r="BA145">
            <v>0</v>
          </cell>
          <cell r="BB145">
            <v>0</v>
          </cell>
          <cell r="BC145">
            <v>0</v>
          </cell>
          <cell r="BE145">
            <v>0</v>
          </cell>
          <cell r="BF145">
            <v>0</v>
          </cell>
          <cell r="BG145">
            <v>0</v>
          </cell>
          <cell r="BH145">
            <v>0</v>
          </cell>
          <cell r="BI145">
            <v>0</v>
          </cell>
          <cell r="BJ145">
            <v>0</v>
          </cell>
          <cell r="BK145">
            <v>0</v>
          </cell>
          <cell r="BL145">
            <v>0</v>
          </cell>
          <cell r="BM145">
            <v>0</v>
          </cell>
          <cell r="BN145">
            <v>0</v>
          </cell>
          <cell r="BO145">
            <v>0</v>
          </cell>
          <cell r="BP145">
            <v>0</v>
          </cell>
        </row>
        <row r="146">
          <cell r="AZ146">
            <v>0</v>
          </cell>
          <cell r="BA146">
            <v>0</v>
          </cell>
          <cell r="BB146">
            <v>0</v>
          </cell>
          <cell r="BC146">
            <v>0</v>
          </cell>
          <cell r="BE146">
            <v>0</v>
          </cell>
          <cell r="BF146">
            <v>0</v>
          </cell>
          <cell r="BG146">
            <v>0</v>
          </cell>
          <cell r="BH146">
            <v>0</v>
          </cell>
          <cell r="BI146">
            <v>0</v>
          </cell>
          <cell r="BJ146">
            <v>0</v>
          </cell>
          <cell r="BK146">
            <v>0</v>
          </cell>
          <cell r="BL146">
            <v>0</v>
          </cell>
          <cell r="BM146">
            <v>0</v>
          </cell>
          <cell r="BN146">
            <v>0</v>
          </cell>
          <cell r="BO146">
            <v>0</v>
          </cell>
          <cell r="BP146">
            <v>0</v>
          </cell>
        </row>
        <row r="147">
          <cell r="AZ147">
            <v>0</v>
          </cell>
          <cell r="BA147">
            <v>0</v>
          </cell>
          <cell r="BB147">
            <v>0</v>
          </cell>
          <cell r="BC147">
            <v>0</v>
          </cell>
          <cell r="BE147">
            <v>0</v>
          </cell>
          <cell r="BF147">
            <v>0</v>
          </cell>
          <cell r="BG147">
            <v>0</v>
          </cell>
          <cell r="BH147">
            <v>0</v>
          </cell>
          <cell r="BI147">
            <v>0</v>
          </cell>
          <cell r="BJ147">
            <v>0</v>
          </cell>
          <cell r="BK147">
            <v>0</v>
          </cell>
          <cell r="BL147">
            <v>0</v>
          </cell>
          <cell r="BM147">
            <v>0</v>
          </cell>
          <cell r="BN147">
            <v>0</v>
          </cell>
          <cell r="BO147">
            <v>0</v>
          </cell>
          <cell r="BP147">
            <v>0</v>
          </cell>
        </row>
        <row r="148">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P148">
            <v>0</v>
          </cell>
          <cell r="AT148">
            <v>0</v>
          </cell>
          <cell r="AX148">
            <v>0</v>
          </cell>
          <cell r="AZ148">
            <v>0</v>
          </cell>
          <cell r="BA148">
            <v>0</v>
          </cell>
          <cell r="BB148">
            <v>0</v>
          </cell>
          <cell r="BC148">
            <v>0</v>
          </cell>
          <cell r="BE148">
            <v>0</v>
          </cell>
          <cell r="BF148">
            <v>0</v>
          </cell>
          <cell r="BG148">
            <v>0</v>
          </cell>
          <cell r="BH148">
            <v>0</v>
          </cell>
          <cell r="BI148">
            <v>0</v>
          </cell>
          <cell r="BJ148">
            <v>0</v>
          </cell>
          <cell r="BK148">
            <v>0</v>
          </cell>
          <cell r="BL148">
            <v>0</v>
          </cell>
          <cell r="BM148">
            <v>0</v>
          </cell>
          <cell r="BN148">
            <v>0</v>
          </cell>
          <cell r="BO148">
            <v>0</v>
          </cell>
          <cell r="BP148">
            <v>0</v>
          </cell>
        </row>
        <row r="149">
          <cell r="AZ149">
            <v>0</v>
          </cell>
          <cell r="BA149">
            <v>0</v>
          </cell>
          <cell r="BB149">
            <v>0</v>
          </cell>
          <cell r="BC149">
            <v>0</v>
          </cell>
          <cell r="BE149">
            <v>0</v>
          </cell>
          <cell r="BF149">
            <v>0</v>
          </cell>
          <cell r="BG149">
            <v>0</v>
          </cell>
          <cell r="BH149">
            <v>0</v>
          </cell>
          <cell r="BI149">
            <v>0</v>
          </cell>
          <cell r="BJ149">
            <v>0</v>
          </cell>
          <cell r="BK149">
            <v>0</v>
          </cell>
          <cell r="BL149">
            <v>0</v>
          </cell>
          <cell r="BM149">
            <v>0</v>
          </cell>
          <cell r="BN149">
            <v>0</v>
          </cell>
          <cell r="BO149">
            <v>0</v>
          </cell>
          <cell r="BP149">
            <v>0</v>
          </cell>
        </row>
        <row r="150">
          <cell r="AZ150">
            <v>0</v>
          </cell>
          <cell r="BA150">
            <v>0</v>
          </cell>
          <cell r="BB150">
            <v>0</v>
          </cell>
          <cell r="BC150">
            <v>0</v>
          </cell>
          <cell r="BE150">
            <v>0</v>
          </cell>
          <cell r="BF150">
            <v>0</v>
          </cell>
          <cell r="BG150">
            <v>0</v>
          </cell>
          <cell r="BH150">
            <v>0</v>
          </cell>
          <cell r="BI150">
            <v>0</v>
          </cell>
          <cell r="BJ150">
            <v>0</v>
          </cell>
          <cell r="BK150">
            <v>0</v>
          </cell>
          <cell r="BL150">
            <v>0</v>
          </cell>
          <cell r="BM150">
            <v>0</v>
          </cell>
          <cell r="BN150">
            <v>0</v>
          </cell>
          <cell r="BO150">
            <v>0</v>
          </cell>
          <cell r="BP150">
            <v>0</v>
          </cell>
        </row>
        <row r="151">
          <cell r="D151" t="e">
            <v>#DIV/0!</v>
          </cell>
          <cell r="E151" t="e">
            <v>#DIV/0!</v>
          </cell>
          <cell r="F151" t="e">
            <v>#DIV/0!</v>
          </cell>
          <cell r="G151" t="e">
            <v>#DIV/0!</v>
          </cell>
          <cell r="H151" t="e">
            <v>#DIV/0!</v>
          </cell>
          <cell r="I151" t="e">
            <v>#DIV/0!</v>
          </cell>
          <cell r="J151" t="e">
            <v>#DIV/0!</v>
          </cell>
          <cell r="K151" t="e">
            <v>#DIV/0!</v>
          </cell>
          <cell r="L151" t="e">
            <v>#DIV/0!</v>
          </cell>
          <cell r="M151" t="e">
            <v>#DIV/0!</v>
          </cell>
          <cell r="N151" t="e">
            <v>#DIV/0!</v>
          </cell>
          <cell r="O151" t="e">
            <v>#DIV/0!</v>
          </cell>
          <cell r="P151" t="e">
            <v>#DIV/0!</v>
          </cell>
          <cell r="Q151" t="e">
            <v>#DIV/0!</v>
          </cell>
          <cell r="R151" t="e">
            <v>#DIV/0!</v>
          </cell>
          <cell r="S151" t="e">
            <v>#DIV/0!</v>
          </cell>
          <cell r="T151" t="e">
            <v>#DIV/0!</v>
          </cell>
          <cell r="U151" t="e">
            <v>#DIV/0!</v>
          </cell>
          <cell r="V151" t="e">
            <v>#DIV/0!</v>
          </cell>
          <cell r="W151" t="e">
            <v>#DIV/0!</v>
          </cell>
          <cell r="X151" t="e">
            <v>#DIV/0!</v>
          </cell>
          <cell r="Y151" t="e">
            <v>#DIV/0!</v>
          </cell>
          <cell r="Z151" t="e">
            <v>#DIV/0!</v>
          </cell>
          <cell r="AA151" t="e">
            <v>#DIV/0!</v>
          </cell>
          <cell r="AB151" t="e">
            <v>#DIV/0!</v>
          </cell>
          <cell r="AC151" t="e">
            <v>#DIV/0!</v>
          </cell>
          <cell r="AD151" t="e">
            <v>#DIV/0!</v>
          </cell>
          <cell r="AE151" t="e">
            <v>#DIV/0!</v>
          </cell>
          <cell r="AF151" t="e">
            <v>#DIV/0!</v>
          </cell>
          <cell r="AG151" t="e">
            <v>#DIV/0!</v>
          </cell>
          <cell r="AH151" t="e">
            <v>#DIV/0!</v>
          </cell>
          <cell r="AI151" t="e">
            <v>#DIV/0!</v>
          </cell>
          <cell r="AJ151" t="e">
            <v>#DIV/0!</v>
          </cell>
          <cell r="AK151" t="e">
            <v>#DIV/0!</v>
          </cell>
          <cell r="AL151" t="e">
            <v>#DIV/0!</v>
          </cell>
          <cell r="AP151" t="e">
            <v>#DIV/0!</v>
          </cell>
          <cell r="AT151" t="e">
            <v>#DIV/0!</v>
          </cell>
          <cell r="AX151" t="e">
            <v>#DIV/0!</v>
          </cell>
          <cell r="AZ151" t="e">
            <v>#DIV/0!</v>
          </cell>
          <cell r="BA151" t="e">
            <v>#DIV/0!</v>
          </cell>
          <cell r="BB151" t="e">
            <v>#DIV/0!</v>
          </cell>
          <cell r="BC151" t="e">
            <v>#DIV/0!</v>
          </cell>
          <cell r="BE151" t="e">
            <v>#DIV/0!</v>
          </cell>
          <cell r="BF151" t="e">
            <v>#DIV/0!</v>
          </cell>
          <cell r="BG151" t="e">
            <v>#DIV/0!</v>
          </cell>
          <cell r="BH151" t="e">
            <v>#DIV/0!</v>
          </cell>
          <cell r="BI151" t="e">
            <v>#DIV/0!</v>
          </cell>
          <cell r="BJ151" t="e">
            <v>#DIV/0!</v>
          </cell>
          <cell r="BK151" t="e">
            <v>#DIV/0!</v>
          </cell>
          <cell r="BL151" t="e">
            <v>#DIV/0!</v>
          </cell>
          <cell r="BM151" t="e">
            <v>#DIV/0!</v>
          </cell>
          <cell r="BN151" t="e">
            <v>#DIV/0!</v>
          </cell>
          <cell r="BO151" t="e">
            <v>#DIV/0!</v>
          </cell>
          <cell r="BP151" t="e">
            <v>#DIV/0!</v>
          </cell>
        </row>
        <row r="152">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P152">
            <v>0</v>
          </cell>
          <cell r="AT152">
            <v>0</v>
          </cell>
          <cell r="AX152">
            <v>0</v>
          </cell>
          <cell r="AZ152">
            <v>0</v>
          </cell>
          <cell r="BA152">
            <v>0</v>
          </cell>
          <cell r="BB152">
            <v>0</v>
          </cell>
          <cell r="BC152">
            <v>0</v>
          </cell>
          <cell r="BE152">
            <v>0</v>
          </cell>
          <cell r="BF152">
            <v>0</v>
          </cell>
          <cell r="BG152">
            <v>0</v>
          </cell>
          <cell r="BH152">
            <v>0</v>
          </cell>
          <cell r="BI152">
            <v>0</v>
          </cell>
          <cell r="BJ152">
            <v>0</v>
          </cell>
          <cell r="BK152">
            <v>0</v>
          </cell>
          <cell r="BL152">
            <v>0</v>
          </cell>
          <cell r="BM152">
            <v>0</v>
          </cell>
          <cell r="BN152">
            <v>0</v>
          </cell>
          <cell r="BO152">
            <v>0</v>
          </cell>
          <cell r="BP152">
            <v>0</v>
          </cell>
        </row>
        <row r="153">
          <cell r="AZ153">
            <v>0</v>
          </cell>
          <cell r="BA153">
            <v>0</v>
          </cell>
          <cell r="BB153">
            <v>0</v>
          </cell>
          <cell r="BC153">
            <v>0</v>
          </cell>
          <cell r="BE153">
            <v>0</v>
          </cell>
          <cell r="BF153">
            <v>0</v>
          </cell>
          <cell r="BG153">
            <v>0</v>
          </cell>
          <cell r="BH153">
            <v>0</v>
          </cell>
          <cell r="BI153">
            <v>0</v>
          </cell>
          <cell r="BJ153">
            <v>0</v>
          </cell>
          <cell r="BK153">
            <v>0</v>
          </cell>
          <cell r="BL153">
            <v>0</v>
          </cell>
          <cell r="BM153">
            <v>0</v>
          </cell>
          <cell r="BN153">
            <v>0</v>
          </cell>
          <cell r="BO153">
            <v>0</v>
          </cell>
          <cell r="BP153">
            <v>0</v>
          </cell>
        </row>
        <row r="154">
          <cell r="AZ154">
            <v>0</v>
          </cell>
          <cell r="BA154">
            <v>0</v>
          </cell>
          <cell r="BB154">
            <v>0</v>
          </cell>
          <cell r="BC154">
            <v>0</v>
          </cell>
          <cell r="BE154">
            <v>0</v>
          </cell>
          <cell r="BF154">
            <v>0</v>
          </cell>
          <cell r="BG154">
            <v>0</v>
          </cell>
          <cell r="BH154">
            <v>0</v>
          </cell>
          <cell r="BI154">
            <v>0</v>
          </cell>
          <cell r="BJ154">
            <v>0</v>
          </cell>
          <cell r="BK154">
            <v>0</v>
          </cell>
          <cell r="BL154">
            <v>0</v>
          </cell>
          <cell r="BM154">
            <v>0</v>
          </cell>
          <cell r="BN154">
            <v>0</v>
          </cell>
          <cell r="BO154">
            <v>0</v>
          </cell>
          <cell r="BP154">
            <v>0</v>
          </cell>
        </row>
        <row r="157">
          <cell r="AZ157">
            <v>0</v>
          </cell>
          <cell r="BA157">
            <v>0</v>
          </cell>
          <cell r="BB157">
            <v>0</v>
          </cell>
          <cell r="BC157">
            <v>0</v>
          </cell>
          <cell r="BE157">
            <v>0</v>
          </cell>
          <cell r="BF157">
            <v>0</v>
          </cell>
          <cell r="BG157">
            <v>0</v>
          </cell>
          <cell r="BH157">
            <v>0</v>
          </cell>
          <cell r="BI157">
            <v>0</v>
          </cell>
          <cell r="BJ157">
            <v>0</v>
          </cell>
          <cell r="BK157">
            <v>0</v>
          </cell>
          <cell r="BL157">
            <v>0</v>
          </cell>
          <cell r="BM157">
            <v>0</v>
          </cell>
          <cell r="BN157">
            <v>0</v>
          </cell>
          <cell r="BO157">
            <v>0</v>
          </cell>
          <cell r="BP157">
            <v>0</v>
          </cell>
        </row>
        <row r="158">
          <cell r="AZ158">
            <v>0</v>
          </cell>
          <cell r="BA158">
            <v>0</v>
          </cell>
          <cell r="BB158">
            <v>0</v>
          </cell>
          <cell r="BC158">
            <v>0</v>
          </cell>
          <cell r="BE158">
            <v>0</v>
          </cell>
          <cell r="BF158">
            <v>0</v>
          </cell>
          <cell r="BG158">
            <v>0</v>
          </cell>
          <cell r="BH158">
            <v>0</v>
          </cell>
          <cell r="BI158">
            <v>0</v>
          </cell>
          <cell r="BJ158">
            <v>0</v>
          </cell>
          <cell r="BK158">
            <v>0</v>
          </cell>
          <cell r="BL158">
            <v>0</v>
          </cell>
          <cell r="BM158">
            <v>0</v>
          </cell>
          <cell r="BN158">
            <v>0</v>
          </cell>
          <cell r="BO158">
            <v>0</v>
          </cell>
          <cell r="BP158">
            <v>0</v>
          </cell>
        </row>
        <row r="159">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P159">
            <v>0</v>
          </cell>
          <cell r="AT159">
            <v>0</v>
          </cell>
          <cell r="AX159">
            <v>0</v>
          </cell>
          <cell r="AZ159">
            <v>0</v>
          </cell>
          <cell r="BA159">
            <v>0</v>
          </cell>
          <cell r="BB159">
            <v>0</v>
          </cell>
          <cell r="BC159">
            <v>0</v>
          </cell>
          <cell r="BE159">
            <v>0</v>
          </cell>
          <cell r="BF159">
            <v>0</v>
          </cell>
          <cell r="BG159">
            <v>0</v>
          </cell>
          <cell r="BH159">
            <v>0</v>
          </cell>
          <cell r="BI159">
            <v>0</v>
          </cell>
          <cell r="BJ159">
            <v>0</v>
          </cell>
          <cell r="BK159">
            <v>0</v>
          </cell>
          <cell r="BL159">
            <v>0</v>
          </cell>
          <cell r="BM159">
            <v>0</v>
          </cell>
          <cell r="BN159">
            <v>0</v>
          </cell>
          <cell r="BO159">
            <v>0</v>
          </cell>
          <cell r="BP159">
            <v>0</v>
          </cell>
        </row>
        <row r="160">
          <cell r="AZ160">
            <v>0</v>
          </cell>
          <cell r="BA160">
            <v>0</v>
          </cell>
          <cell r="BB160">
            <v>0</v>
          </cell>
          <cell r="BC160">
            <v>0</v>
          </cell>
          <cell r="BE160">
            <v>0</v>
          </cell>
          <cell r="BF160">
            <v>0</v>
          </cell>
          <cell r="BG160">
            <v>0</v>
          </cell>
          <cell r="BH160">
            <v>0</v>
          </cell>
          <cell r="BI160">
            <v>0</v>
          </cell>
          <cell r="BJ160">
            <v>0</v>
          </cell>
          <cell r="BK160">
            <v>0</v>
          </cell>
          <cell r="BL160">
            <v>0</v>
          </cell>
          <cell r="BM160">
            <v>0</v>
          </cell>
          <cell r="BN160">
            <v>0</v>
          </cell>
          <cell r="BO160">
            <v>0</v>
          </cell>
          <cell r="BP160">
            <v>0</v>
          </cell>
        </row>
        <row r="163">
          <cell r="AZ163">
            <v>0</v>
          </cell>
          <cell r="BA163">
            <v>0</v>
          </cell>
          <cell r="BB163">
            <v>0</v>
          </cell>
          <cell r="BC163">
            <v>0</v>
          </cell>
          <cell r="BE163">
            <v>0</v>
          </cell>
          <cell r="BF163">
            <v>0</v>
          </cell>
          <cell r="BG163">
            <v>0</v>
          </cell>
          <cell r="BH163">
            <v>0</v>
          </cell>
          <cell r="BI163">
            <v>0</v>
          </cell>
          <cell r="BJ163">
            <v>0</v>
          </cell>
          <cell r="BK163">
            <v>0</v>
          </cell>
          <cell r="BL163">
            <v>0</v>
          </cell>
          <cell r="BM163">
            <v>0</v>
          </cell>
          <cell r="BN163">
            <v>0</v>
          </cell>
          <cell r="BO163">
            <v>0</v>
          </cell>
          <cell r="BP163">
            <v>0</v>
          </cell>
        </row>
        <row r="164">
          <cell r="AZ164">
            <v>0</v>
          </cell>
          <cell r="BA164">
            <v>0</v>
          </cell>
          <cell r="BB164">
            <v>0</v>
          </cell>
          <cell r="BC164">
            <v>0</v>
          </cell>
          <cell r="BE164">
            <v>0</v>
          </cell>
          <cell r="BF164">
            <v>0</v>
          </cell>
          <cell r="BG164">
            <v>0</v>
          </cell>
          <cell r="BH164">
            <v>0</v>
          </cell>
          <cell r="BI164">
            <v>0</v>
          </cell>
          <cell r="BJ164">
            <v>0</v>
          </cell>
          <cell r="BK164">
            <v>0</v>
          </cell>
          <cell r="BL164">
            <v>0</v>
          </cell>
          <cell r="BM164">
            <v>0</v>
          </cell>
          <cell r="BN164">
            <v>0</v>
          </cell>
          <cell r="BO164">
            <v>0</v>
          </cell>
          <cell r="BP164">
            <v>0</v>
          </cell>
        </row>
        <row r="165">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P165">
            <v>0</v>
          </cell>
          <cell r="AT165">
            <v>0</v>
          </cell>
          <cell r="AX165">
            <v>0</v>
          </cell>
          <cell r="AZ165">
            <v>0</v>
          </cell>
          <cell r="BA165">
            <v>0</v>
          </cell>
          <cell r="BB165">
            <v>0</v>
          </cell>
          <cell r="BC165">
            <v>0</v>
          </cell>
          <cell r="BE165">
            <v>0</v>
          </cell>
          <cell r="BF165">
            <v>0</v>
          </cell>
          <cell r="BG165">
            <v>0</v>
          </cell>
          <cell r="BH165">
            <v>0</v>
          </cell>
          <cell r="BI165">
            <v>0</v>
          </cell>
          <cell r="BJ165">
            <v>0</v>
          </cell>
          <cell r="BK165">
            <v>0</v>
          </cell>
          <cell r="BL165">
            <v>0</v>
          </cell>
          <cell r="BM165">
            <v>0</v>
          </cell>
          <cell r="BN165">
            <v>0</v>
          </cell>
          <cell r="BO165">
            <v>0</v>
          </cell>
          <cell r="BP165">
            <v>0</v>
          </cell>
        </row>
        <row r="166">
          <cell r="AZ166">
            <v>0</v>
          </cell>
          <cell r="BA166">
            <v>0</v>
          </cell>
          <cell r="BB166">
            <v>0</v>
          </cell>
          <cell r="BC166">
            <v>0</v>
          </cell>
          <cell r="BE166">
            <v>0</v>
          </cell>
          <cell r="BF166">
            <v>0</v>
          </cell>
          <cell r="BG166">
            <v>0</v>
          </cell>
          <cell r="BH166">
            <v>0</v>
          </cell>
          <cell r="BI166">
            <v>0</v>
          </cell>
          <cell r="BJ166">
            <v>0</v>
          </cell>
          <cell r="BK166">
            <v>0</v>
          </cell>
          <cell r="BL166">
            <v>0</v>
          </cell>
          <cell r="BM166">
            <v>0</v>
          </cell>
          <cell r="BN166">
            <v>0</v>
          </cell>
          <cell r="BO166">
            <v>0</v>
          </cell>
          <cell r="BP166">
            <v>0</v>
          </cell>
        </row>
        <row r="169">
          <cell r="AZ169">
            <v>0</v>
          </cell>
          <cell r="BA169">
            <v>0</v>
          </cell>
          <cell r="BB169">
            <v>0</v>
          </cell>
          <cell r="BC169">
            <v>0</v>
          </cell>
          <cell r="BE169">
            <v>0</v>
          </cell>
          <cell r="BF169">
            <v>0</v>
          </cell>
          <cell r="BG169">
            <v>0</v>
          </cell>
          <cell r="BH169">
            <v>0</v>
          </cell>
          <cell r="BI169">
            <v>0</v>
          </cell>
          <cell r="BJ169">
            <v>0</v>
          </cell>
          <cell r="BK169">
            <v>0</v>
          </cell>
          <cell r="BL169">
            <v>0</v>
          </cell>
          <cell r="BM169">
            <v>0</v>
          </cell>
          <cell r="BN169">
            <v>0</v>
          </cell>
          <cell r="BO169">
            <v>0</v>
          </cell>
          <cell r="BP169">
            <v>0</v>
          </cell>
        </row>
        <row r="170">
          <cell r="AZ170">
            <v>0</v>
          </cell>
          <cell r="BA170">
            <v>0</v>
          </cell>
          <cell r="BB170">
            <v>0</v>
          </cell>
          <cell r="BC170">
            <v>0</v>
          </cell>
          <cell r="BE170">
            <v>0</v>
          </cell>
          <cell r="BF170">
            <v>0</v>
          </cell>
          <cell r="BG170">
            <v>0</v>
          </cell>
          <cell r="BH170">
            <v>0</v>
          </cell>
          <cell r="BI170">
            <v>0</v>
          </cell>
          <cell r="BJ170">
            <v>0</v>
          </cell>
          <cell r="BK170">
            <v>0</v>
          </cell>
          <cell r="BL170">
            <v>0</v>
          </cell>
          <cell r="BM170">
            <v>0</v>
          </cell>
          <cell r="BN170">
            <v>0</v>
          </cell>
          <cell r="BO170">
            <v>0</v>
          </cell>
          <cell r="BP170">
            <v>0</v>
          </cell>
        </row>
        <row r="171">
          <cell r="AZ171">
            <v>0</v>
          </cell>
          <cell r="BA171">
            <v>0</v>
          </cell>
          <cell r="BB171">
            <v>0</v>
          </cell>
          <cell r="BC171">
            <v>0</v>
          </cell>
          <cell r="BE171">
            <v>0</v>
          </cell>
          <cell r="BF171">
            <v>0</v>
          </cell>
          <cell r="BG171">
            <v>0</v>
          </cell>
          <cell r="BH171">
            <v>0</v>
          </cell>
          <cell r="BI171">
            <v>0</v>
          </cell>
          <cell r="BJ171">
            <v>0</v>
          </cell>
          <cell r="BK171">
            <v>0</v>
          </cell>
          <cell r="BL171">
            <v>0</v>
          </cell>
          <cell r="BM171">
            <v>0</v>
          </cell>
          <cell r="BN171">
            <v>0</v>
          </cell>
          <cell r="BO171">
            <v>0</v>
          </cell>
          <cell r="BP171">
            <v>0</v>
          </cell>
        </row>
        <row r="172">
          <cell r="AZ172">
            <v>0</v>
          </cell>
          <cell r="BA172">
            <v>0</v>
          </cell>
          <cell r="BB172">
            <v>0</v>
          </cell>
          <cell r="BC172">
            <v>0</v>
          </cell>
          <cell r="BE172">
            <v>0</v>
          </cell>
          <cell r="BF172">
            <v>0</v>
          </cell>
          <cell r="BG172">
            <v>0</v>
          </cell>
          <cell r="BH172">
            <v>0</v>
          </cell>
          <cell r="BI172">
            <v>0</v>
          </cell>
          <cell r="BJ172">
            <v>0</v>
          </cell>
          <cell r="BK172">
            <v>0</v>
          </cell>
          <cell r="BL172">
            <v>0</v>
          </cell>
          <cell r="BM172">
            <v>0</v>
          </cell>
          <cell r="BN172">
            <v>0</v>
          </cell>
          <cell r="BO172">
            <v>0</v>
          </cell>
          <cell r="BP172">
            <v>0</v>
          </cell>
        </row>
        <row r="175">
          <cell r="AZ175">
            <v>0</v>
          </cell>
          <cell r="BA175">
            <v>0</v>
          </cell>
          <cell r="BB175">
            <v>0</v>
          </cell>
          <cell r="BC175">
            <v>0</v>
          </cell>
          <cell r="BE175">
            <v>0</v>
          </cell>
          <cell r="BF175">
            <v>0</v>
          </cell>
          <cell r="BG175">
            <v>0</v>
          </cell>
          <cell r="BH175">
            <v>0</v>
          </cell>
          <cell r="BI175">
            <v>0</v>
          </cell>
          <cell r="BJ175">
            <v>0</v>
          </cell>
          <cell r="BK175">
            <v>0</v>
          </cell>
          <cell r="BL175">
            <v>0</v>
          </cell>
          <cell r="BM175">
            <v>0</v>
          </cell>
          <cell r="BN175">
            <v>0</v>
          </cell>
          <cell r="BO175">
            <v>0</v>
          </cell>
          <cell r="BP175">
            <v>0</v>
          </cell>
        </row>
        <row r="176">
          <cell r="AZ176">
            <v>0</v>
          </cell>
          <cell r="BA176">
            <v>0</v>
          </cell>
          <cell r="BB176">
            <v>0</v>
          </cell>
          <cell r="BC176">
            <v>0</v>
          </cell>
          <cell r="BE176">
            <v>0</v>
          </cell>
          <cell r="BF176">
            <v>0</v>
          </cell>
          <cell r="BG176">
            <v>0</v>
          </cell>
          <cell r="BH176">
            <v>0</v>
          </cell>
          <cell r="BI176">
            <v>0</v>
          </cell>
          <cell r="BJ176">
            <v>0</v>
          </cell>
          <cell r="BK176">
            <v>0</v>
          </cell>
          <cell r="BL176">
            <v>0</v>
          </cell>
          <cell r="BM176">
            <v>0</v>
          </cell>
          <cell r="BN176">
            <v>0</v>
          </cell>
          <cell r="BO176">
            <v>0</v>
          </cell>
          <cell r="BP176">
            <v>0</v>
          </cell>
        </row>
        <row r="177">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P177">
            <v>0</v>
          </cell>
          <cell r="AT177">
            <v>0</v>
          </cell>
          <cell r="AX177">
            <v>0</v>
          </cell>
          <cell r="AZ177">
            <v>0</v>
          </cell>
          <cell r="BA177">
            <v>0</v>
          </cell>
          <cell r="BB177">
            <v>0</v>
          </cell>
          <cell r="BC177">
            <v>0</v>
          </cell>
          <cell r="BE177">
            <v>0</v>
          </cell>
          <cell r="BF177">
            <v>0</v>
          </cell>
          <cell r="BG177">
            <v>0</v>
          </cell>
          <cell r="BH177">
            <v>0</v>
          </cell>
          <cell r="BI177">
            <v>0</v>
          </cell>
          <cell r="BJ177">
            <v>0</v>
          </cell>
          <cell r="BK177">
            <v>0</v>
          </cell>
          <cell r="BL177">
            <v>0</v>
          </cell>
          <cell r="BM177">
            <v>0</v>
          </cell>
          <cell r="BN177">
            <v>0</v>
          </cell>
          <cell r="BO177">
            <v>0</v>
          </cell>
          <cell r="BP177">
            <v>0</v>
          </cell>
        </row>
        <row r="178">
          <cell r="AZ178">
            <v>0</v>
          </cell>
          <cell r="BA178">
            <v>0</v>
          </cell>
          <cell r="BB178">
            <v>0</v>
          </cell>
          <cell r="BC178">
            <v>0</v>
          </cell>
          <cell r="BE178">
            <v>0</v>
          </cell>
          <cell r="BF178">
            <v>0</v>
          </cell>
          <cell r="BG178">
            <v>0</v>
          </cell>
          <cell r="BH178">
            <v>0</v>
          </cell>
          <cell r="BI178">
            <v>0</v>
          </cell>
          <cell r="BJ178">
            <v>0</v>
          </cell>
          <cell r="BK178">
            <v>0</v>
          </cell>
          <cell r="BL178">
            <v>0</v>
          </cell>
          <cell r="BM178">
            <v>0</v>
          </cell>
          <cell r="BN178">
            <v>0</v>
          </cell>
          <cell r="BO178">
            <v>0</v>
          </cell>
          <cell r="BP178">
            <v>0</v>
          </cell>
        </row>
        <row r="181">
          <cell r="AZ181">
            <v>0</v>
          </cell>
          <cell r="BA181">
            <v>0</v>
          </cell>
          <cell r="BB181">
            <v>0</v>
          </cell>
          <cell r="BC181">
            <v>0</v>
          </cell>
          <cell r="BE181">
            <v>0</v>
          </cell>
          <cell r="BF181">
            <v>0</v>
          </cell>
          <cell r="BG181">
            <v>0</v>
          </cell>
          <cell r="BH181">
            <v>0</v>
          </cell>
          <cell r="BI181">
            <v>0</v>
          </cell>
          <cell r="BJ181">
            <v>0</v>
          </cell>
          <cell r="BK181">
            <v>0</v>
          </cell>
          <cell r="BL181">
            <v>0</v>
          </cell>
          <cell r="BM181">
            <v>0</v>
          </cell>
          <cell r="BN181">
            <v>0</v>
          </cell>
          <cell r="BO181">
            <v>0</v>
          </cell>
          <cell r="BP181">
            <v>0</v>
          </cell>
        </row>
        <row r="182">
          <cell r="AZ182">
            <v>0</v>
          </cell>
          <cell r="BA182">
            <v>0</v>
          </cell>
          <cell r="BB182">
            <v>0</v>
          </cell>
          <cell r="BC182">
            <v>0</v>
          </cell>
          <cell r="BE182">
            <v>0</v>
          </cell>
          <cell r="BF182">
            <v>0</v>
          </cell>
          <cell r="BG182">
            <v>0</v>
          </cell>
          <cell r="BH182">
            <v>0</v>
          </cell>
          <cell r="BI182">
            <v>0</v>
          </cell>
          <cell r="BJ182">
            <v>0</v>
          </cell>
          <cell r="BK182">
            <v>0</v>
          </cell>
          <cell r="BL182">
            <v>0</v>
          </cell>
          <cell r="BM182">
            <v>0</v>
          </cell>
          <cell r="BN182">
            <v>0</v>
          </cell>
          <cell r="BO182">
            <v>0</v>
          </cell>
          <cell r="BP182">
            <v>0</v>
          </cell>
        </row>
        <row r="183">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P183">
            <v>0</v>
          </cell>
          <cell r="AT183">
            <v>0</v>
          </cell>
          <cell r="AX183">
            <v>0</v>
          </cell>
          <cell r="AZ183">
            <v>0</v>
          </cell>
          <cell r="BA183">
            <v>0</v>
          </cell>
          <cell r="BB183">
            <v>0</v>
          </cell>
          <cell r="BC183">
            <v>0</v>
          </cell>
          <cell r="BE183">
            <v>0</v>
          </cell>
          <cell r="BF183">
            <v>0</v>
          </cell>
          <cell r="BG183">
            <v>0</v>
          </cell>
          <cell r="BH183">
            <v>0</v>
          </cell>
          <cell r="BI183">
            <v>0</v>
          </cell>
          <cell r="BJ183">
            <v>0</v>
          </cell>
          <cell r="BK183">
            <v>0</v>
          </cell>
          <cell r="BL183">
            <v>0</v>
          </cell>
          <cell r="BM183">
            <v>0</v>
          </cell>
          <cell r="BN183">
            <v>0</v>
          </cell>
          <cell r="BO183">
            <v>0</v>
          </cell>
          <cell r="BP183">
            <v>0</v>
          </cell>
        </row>
        <row r="184">
          <cell r="AZ184">
            <v>0</v>
          </cell>
          <cell r="BA184">
            <v>0</v>
          </cell>
          <cell r="BB184">
            <v>0</v>
          </cell>
          <cell r="BC184">
            <v>0</v>
          </cell>
          <cell r="BE184">
            <v>0</v>
          </cell>
          <cell r="BF184">
            <v>0</v>
          </cell>
          <cell r="BG184">
            <v>0</v>
          </cell>
          <cell r="BH184">
            <v>0</v>
          </cell>
          <cell r="BI184">
            <v>0</v>
          </cell>
          <cell r="BJ184">
            <v>0</v>
          </cell>
          <cell r="BK184">
            <v>0</v>
          </cell>
          <cell r="BL184">
            <v>0</v>
          </cell>
          <cell r="BM184">
            <v>0</v>
          </cell>
          <cell r="BN184">
            <v>0</v>
          </cell>
          <cell r="BO184">
            <v>0</v>
          </cell>
          <cell r="BP184">
            <v>0</v>
          </cell>
        </row>
        <row r="187">
          <cell r="AZ187">
            <v>0</v>
          </cell>
          <cell r="BA187">
            <v>0</v>
          </cell>
          <cell r="BB187">
            <v>0</v>
          </cell>
          <cell r="BC187">
            <v>0</v>
          </cell>
          <cell r="BE187">
            <v>0</v>
          </cell>
          <cell r="BF187">
            <v>0</v>
          </cell>
          <cell r="BG187">
            <v>0</v>
          </cell>
          <cell r="BH187">
            <v>0</v>
          </cell>
          <cell r="BI187">
            <v>0</v>
          </cell>
          <cell r="BJ187">
            <v>0</v>
          </cell>
          <cell r="BK187">
            <v>0</v>
          </cell>
          <cell r="BL187">
            <v>0</v>
          </cell>
          <cell r="BM187">
            <v>0</v>
          </cell>
          <cell r="BN187">
            <v>0</v>
          </cell>
          <cell r="BO187">
            <v>0</v>
          </cell>
          <cell r="BP187">
            <v>0</v>
          </cell>
        </row>
        <row r="188">
          <cell r="AZ188">
            <v>0</v>
          </cell>
          <cell r="BA188">
            <v>0</v>
          </cell>
          <cell r="BB188">
            <v>0</v>
          </cell>
          <cell r="BC188">
            <v>0</v>
          </cell>
          <cell r="BE188">
            <v>0</v>
          </cell>
          <cell r="BF188">
            <v>0</v>
          </cell>
          <cell r="BG188">
            <v>0</v>
          </cell>
          <cell r="BH188">
            <v>0</v>
          </cell>
          <cell r="BI188">
            <v>0</v>
          </cell>
          <cell r="BJ188">
            <v>0</v>
          </cell>
          <cell r="BK188">
            <v>0</v>
          </cell>
          <cell r="BL188">
            <v>0</v>
          </cell>
          <cell r="BM188">
            <v>0</v>
          </cell>
          <cell r="BN188">
            <v>0</v>
          </cell>
          <cell r="BO188">
            <v>0</v>
          </cell>
          <cell r="BP188">
            <v>0</v>
          </cell>
        </row>
        <row r="189">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P189">
            <v>0</v>
          </cell>
          <cell r="AT189">
            <v>0</v>
          </cell>
          <cell r="AX189">
            <v>0</v>
          </cell>
          <cell r="AZ189">
            <v>0</v>
          </cell>
          <cell r="BA189">
            <v>0</v>
          </cell>
          <cell r="BB189">
            <v>0</v>
          </cell>
          <cell r="BC189">
            <v>0</v>
          </cell>
          <cell r="BE189">
            <v>0</v>
          </cell>
          <cell r="BF189">
            <v>0</v>
          </cell>
          <cell r="BG189">
            <v>0</v>
          </cell>
          <cell r="BH189">
            <v>0</v>
          </cell>
          <cell r="BI189">
            <v>0</v>
          </cell>
          <cell r="BJ189">
            <v>0</v>
          </cell>
          <cell r="BK189">
            <v>0</v>
          </cell>
          <cell r="BL189">
            <v>0</v>
          </cell>
          <cell r="BM189">
            <v>0</v>
          </cell>
          <cell r="BN189">
            <v>0</v>
          </cell>
          <cell r="BO189">
            <v>0</v>
          </cell>
          <cell r="BP189">
            <v>0</v>
          </cell>
        </row>
        <row r="190">
          <cell r="AZ190">
            <v>0</v>
          </cell>
          <cell r="BA190">
            <v>0</v>
          </cell>
          <cell r="BB190">
            <v>0</v>
          </cell>
          <cell r="BC190">
            <v>0</v>
          </cell>
          <cell r="BE190">
            <v>0</v>
          </cell>
          <cell r="BF190">
            <v>0</v>
          </cell>
          <cell r="BG190">
            <v>0</v>
          </cell>
          <cell r="BH190">
            <v>0</v>
          </cell>
          <cell r="BI190">
            <v>0</v>
          </cell>
          <cell r="BJ190">
            <v>0</v>
          </cell>
          <cell r="BK190">
            <v>0</v>
          </cell>
          <cell r="BL190">
            <v>0</v>
          </cell>
          <cell r="BM190">
            <v>0</v>
          </cell>
          <cell r="BN190">
            <v>0</v>
          </cell>
          <cell r="BO190">
            <v>0</v>
          </cell>
          <cell r="BP190">
            <v>0</v>
          </cell>
        </row>
        <row r="193">
          <cell r="AZ193">
            <v>0</v>
          </cell>
          <cell r="BA193">
            <v>0</v>
          </cell>
          <cell r="BB193">
            <v>0</v>
          </cell>
          <cell r="BC193">
            <v>0</v>
          </cell>
          <cell r="BE193">
            <v>0</v>
          </cell>
          <cell r="BF193">
            <v>0</v>
          </cell>
          <cell r="BG193">
            <v>0</v>
          </cell>
          <cell r="BH193">
            <v>0</v>
          </cell>
          <cell r="BI193">
            <v>0</v>
          </cell>
          <cell r="BJ193">
            <v>0</v>
          </cell>
          <cell r="BK193">
            <v>0</v>
          </cell>
          <cell r="BL193">
            <v>0</v>
          </cell>
          <cell r="BM193">
            <v>0</v>
          </cell>
          <cell r="BN193">
            <v>0</v>
          </cell>
          <cell r="BO193">
            <v>0</v>
          </cell>
          <cell r="BP193">
            <v>0</v>
          </cell>
        </row>
        <row r="194">
          <cell r="AZ194">
            <v>0</v>
          </cell>
          <cell r="BA194">
            <v>0</v>
          </cell>
          <cell r="BB194">
            <v>0</v>
          </cell>
          <cell r="BC194">
            <v>0</v>
          </cell>
          <cell r="BE194">
            <v>0</v>
          </cell>
          <cell r="BF194">
            <v>0</v>
          </cell>
          <cell r="BG194">
            <v>0</v>
          </cell>
          <cell r="BH194">
            <v>0</v>
          </cell>
          <cell r="BI194">
            <v>0</v>
          </cell>
          <cell r="BJ194">
            <v>0</v>
          </cell>
          <cell r="BK194">
            <v>0</v>
          </cell>
          <cell r="BL194">
            <v>0</v>
          </cell>
          <cell r="BM194">
            <v>0</v>
          </cell>
          <cell r="BN194">
            <v>0</v>
          </cell>
          <cell r="BO194">
            <v>0</v>
          </cell>
          <cell r="BP194">
            <v>0</v>
          </cell>
        </row>
        <row r="195">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P195">
            <v>0</v>
          </cell>
          <cell r="AT195">
            <v>0</v>
          </cell>
          <cell r="AX195">
            <v>0</v>
          </cell>
          <cell r="AZ195">
            <v>0</v>
          </cell>
          <cell r="BA195">
            <v>0</v>
          </cell>
          <cell r="BB195">
            <v>0</v>
          </cell>
          <cell r="BC195">
            <v>0</v>
          </cell>
          <cell r="BE195">
            <v>0</v>
          </cell>
          <cell r="BF195">
            <v>0</v>
          </cell>
          <cell r="BG195">
            <v>0</v>
          </cell>
          <cell r="BH195">
            <v>0</v>
          </cell>
          <cell r="BI195">
            <v>0</v>
          </cell>
          <cell r="BJ195">
            <v>0</v>
          </cell>
          <cell r="BK195">
            <v>0</v>
          </cell>
          <cell r="BL195">
            <v>0</v>
          </cell>
          <cell r="BM195">
            <v>0</v>
          </cell>
          <cell r="BN195">
            <v>0</v>
          </cell>
          <cell r="BO195">
            <v>0</v>
          </cell>
          <cell r="BP195">
            <v>0</v>
          </cell>
        </row>
        <row r="196">
          <cell r="AZ196">
            <v>0</v>
          </cell>
          <cell r="BA196">
            <v>0</v>
          </cell>
          <cell r="BB196">
            <v>0</v>
          </cell>
          <cell r="BC196">
            <v>0</v>
          </cell>
          <cell r="BE196">
            <v>0</v>
          </cell>
          <cell r="BF196">
            <v>0</v>
          </cell>
          <cell r="BG196">
            <v>0</v>
          </cell>
          <cell r="BH196">
            <v>0</v>
          </cell>
          <cell r="BI196">
            <v>0</v>
          </cell>
          <cell r="BJ196">
            <v>0</v>
          </cell>
          <cell r="BK196">
            <v>0</v>
          </cell>
          <cell r="BL196">
            <v>0</v>
          </cell>
          <cell r="BM196">
            <v>0</v>
          </cell>
          <cell r="BN196">
            <v>0</v>
          </cell>
          <cell r="BO196">
            <v>0</v>
          </cell>
          <cell r="BP196">
            <v>0</v>
          </cell>
        </row>
        <row r="199">
          <cell r="AZ199">
            <v>0</v>
          </cell>
          <cell r="BA199">
            <v>0</v>
          </cell>
          <cell r="BB199">
            <v>0</v>
          </cell>
          <cell r="BC199">
            <v>0</v>
          </cell>
          <cell r="BE199">
            <v>0</v>
          </cell>
          <cell r="BF199">
            <v>0</v>
          </cell>
          <cell r="BG199">
            <v>0</v>
          </cell>
          <cell r="BH199">
            <v>0</v>
          </cell>
          <cell r="BI199">
            <v>0</v>
          </cell>
          <cell r="BJ199">
            <v>0</v>
          </cell>
          <cell r="BK199">
            <v>0</v>
          </cell>
          <cell r="BL199">
            <v>0</v>
          </cell>
          <cell r="BM199">
            <v>0</v>
          </cell>
          <cell r="BN199">
            <v>0</v>
          </cell>
          <cell r="BO199">
            <v>0</v>
          </cell>
          <cell r="BP199">
            <v>0</v>
          </cell>
        </row>
        <row r="200">
          <cell r="AZ200">
            <v>0</v>
          </cell>
          <cell r="BA200">
            <v>0</v>
          </cell>
          <cell r="BB200">
            <v>0</v>
          </cell>
          <cell r="BC200">
            <v>0</v>
          </cell>
          <cell r="BE200">
            <v>0</v>
          </cell>
          <cell r="BF200">
            <v>0</v>
          </cell>
          <cell r="BG200">
            <v>0</v>
          </cell>
          <cell r="BH200">
            <v>0</v>
          </cell>
          <cell r="BI200">
            <v>0</v>
          </cell>
          <cell r="BJ200">
            <v>0</v>
          </cell>
          <cell r="BK200">
            <v>0</v>
          </cell>
          <cell r="BL200">
            <v>0</v>
          </cell>
          <cell r="BM200">
            <v>0</v>
          </cell>
          <cell r="BN200">
            <v>0</v>
          </cell>
          <cell r="BO200">
            <v>0</v>
          </cell>
          <cell r="BP200">
            <v>0</v>
          </cell>
        </row>
        <row r="201">
          <cell r="AZ201">
            <v>0</v>
          </cell>
          <cell r="BA201">
            <v>0</v>
          </cell>
          <cell r="BB201">
            <v>0</v>
          </cell>
          <cell r="BC201">
            <v>0</v>
          </cell>
          <cell r="BE201">
            <v>0</v>
          </cell>
          <cell r="BF201">
            <v>0</v>
          </cell>
          <cell r="BG201">
            <v>0</v>
          </cell>
          <cell r="BH201">
            <v>0</v>
          </cell>
          <cell r="BI201">
            <v>0</v>
          </cell>
          <cell r="BJ201">
            <v>0</v>
          </cell>
          <cell r="BK201">
            <v>0</v>
          </cell>
          <cell r="BL201">
            <v>0</v>
          </cell>
          <cell r="BM201">
            <v>0</v>
          </cell>
          <cell r="BN201">
            <v>0</v>
          </cell>
          <cell r="BO201">
            <v>0</v>
          </cell>
          <cell r="BP201">
            <v>0</v>
          </cell>
        </row>
        <row r="202">
          <cell r="AZ202">
            <v>0</v>
          </cell>
          <cell r="BA202">
            <v>0</v>
          </cell>
          <cell r="BB202">
            <v>0</v>
          </cell>
          <cell r="BC202">
            <v>0</v>
          </cell>
          <cell r="BE202">
            <v>0</v>
          </cell>
          <cell r="BF202">
            <v>0</v>
          </cell>
          <cell r="BG202">
            <v>0</v>
          </cell>
          <cell r="BH202">
            <v>0</v>
          </cell>
          <cell r="BI202">
            <v>0</v>
          </cell>
          <cell r="BJ202">
            <v>0</v>
          </cell>
          <cell r="BK202">
            <v>0</v>
          </cell>
          <cell r="BL202">
            <v>0</v>
          </cell>
          <cell r="BM202">
            <v>0</v>
          </cell>
          <cell r="BN202">
            <v>0</v>
          </cell>
          <cell r="BO202">
            <v>0</v>
          </cell>
          <cell r="BP202">
            <v>0</v>
          </cell>
        </row>
        <row r="206">
          <cell r="D206">
            <v>113450.28</v>
          </cell>
          <cell r="E206">
            <v>55213.84</v>
          </cell>
          <cell r="F206">
            <v>82061.08</v>
          </cell>
          <cell r="G206">
            <v>95703.38</v>
          </cell>
          <cell r="H206">
            <v>103431.03</v>
          </cell>
          <cell r="I206">
            <v>44184.59</v>
          </cell>
          <cell r="J206">
            <v>70262.8</v>
          </cell>
          <cell r="K206">
            <v>99430.449999999983</v>
          </cell>
          <cell r="L206">
            <v>72904.599999999991</v>
          </cell>
          <cell r="M206">
            <v>41848.619999999995</v>
          </cell>
          <cell r="N206">
            <v>74751.55</v>
          </cell>
          <cell r="O206">
            <v>92989.53</v>
          </cell>
          <cell r="P206">
            <v>12630.72</v>
          </cell>
          <cell r="Q206">
            <v>35518.54</v>
          </cell>
          <cell r="R206">
            <v>73073.78</v>
          </cell>
          <cell r="S206">
            <v>95559.23000000001</v>
          </cell>
          <cell r="T206">
            <v>16179.57</v>
          </cell>
          <cell r="U206">
            <v>41664.51</v>
          </cell>
          <cell r="V206">
            <v>77403.64</v>
          </cell>
          <cell r="W206">
            <v>93037.82</v>
          </cell>
          <cell r="X206">
            <v>15764.289999999999</v>
          </cell>
          <cell r="Y206">
            <v>45745.279999999999</v>
          </cell>
          <cell r="Z206">
            <v>74920.989999999991</v>
          </cell>
          <cell r="AA206">
            <v>107765.57</v>
          </cell>
          <cell r="AB206">
            <v>18596.22</v>
          </cell>
          <cell r="AC206">
            <v>59933.01</v>
          </cell>
          <cell r="AD206">
            <v>90415.169999999984</v>
          </cell>
          <cell r="AE206">
            <v>103382.87</v>
          </cell>
          <cell r="AF206">
            <v>23961.98</v>
          </cell>
          <cell r="AG206">
            <v>60187.7</v>
          </cell>
          <cell r="AH206">
            <v>89035.48000000001</v>
          </cell>
          <cell r="AI206">
            <v>99175.540000000008</v>
          </cell>
          <cell r="AJ206">
            <v>29978.75</v>
          </cell>
          <cell r="AK206">
            <v>63322.15</v>
          </cell>
          <cell r="AL206">
            <v>86138.78</v>
          </cell>
          <cell r="AP206">
            <v>0</v>
          </cell>
          <cell r="AT206">
            <v>0</v>
          </cell>
          <cell r="AX206">
            <v>0</v>
          </cell>
          <cell r="AZ206">
            <v>894728.71000000008</v>
          </cell>
          <cell r="BA206">
            <v>406897.43999999994</v>
          </cell>
          <cell r="BB206">
            <v>447618.24000000005</v>
          </cell>
          <cell r="BC206">
            <v>718063.27</v>
          </cell>
          <cell r="BE206">
            <v>302818.14999999997</v>
          </cell>
          <cell r="BF206">
            <v>289785.90999999997</v>
          </cell>
          <cell r="BG206">
            <v>141247.04999999999</v>
          </cell>
          <cell r="BH206">
            <v>227075.43</v>
          </cell>
          <cell r="BI206">
            <v>281586.58</v>
          </cell>
          <cell r="BJ206">
            <v>44574.58</v>
          </cell>
          <cell r="BK206">
            <v>122928.33</v>
          </cell>
          <cell r="BL206">
            <v>225398.40999999997</v>
          </cell>
          <cell r="BM206">
            <v>310323.98</v>
          </cell>
          <cell r="BN206">
            <v>72536.95</v>
          </cell>
          <cell r="BO206">
            <v>183442.86</v>
          </cell>
          <cell r="BP206">
            <v>265589.43</v>
          </cell>
        </row>
        <row r="209">
          <cell r="D209">
            <v>112463.85937674824</v>
          </cell>
          <cell r="E209">
            <v>56226.882628477601</v>
          </cell>
          <cell r="F209">
            <v>83246.445114937</v>
          </cell>
          <cell r="G209">
            <v>101926.06906210593</v>
          </cell>
          <cell r="H209">
            <v>103726.71326352478</v>
          </cell>
          <cell r="I209">
            <v>45213.321052769199</v>
          </cell>
          <cell r="J209">
            <v>72287.857900000003</v>
          </cell>
          <cell r="K209">
            <v>106501.6298800623</v>
          </cell>
          <cell r="L209">
            <v>70297.341933406715</v>
          </cell>
          <cell r="M209">
            <v>42428.351918787099</v>
          </cell>
          <cell r="N209">
            <v>76862.37</v>
          </cell>
          <cell r="O209">
            <v>99548.162605257094</v>
          </cell>
          <cell r="P209">
            <v>17377.841557014399</v>
          </cell>
          <cell r="Q209">
            <v>38156.015399682903</v>
          </cell>
          <cell r="R209">
            <v>75483.869022504994</v>
          </cell>
          <cell r="S209">
            <v>100740.69264186965</v>
          </cell>
          <cell r="T209">
            <v>23615.4378630028</v>
          </cell>
          <cell r="U209">
            <v>44931.747692007004</v>
          </cell>
          <cell r="V209">
            <v>79021.481</v>
          </cell>
          <cell r="W209">
            <v>99957.312023721141</v>
          </cell>
          <cell r="X209">
            <v>25328.630245631099</v>
          </cell>
          <cell r="Y209">
            <v>45208.45</v>
          </cell>
          <cell r="Z209">
            <v>76549.200000000012</v>
          </cell>
          <cell r="AA209">
            <v>112236.6122538879</v>
          </cell>
          <cell r="AB209">
            <v>23003.783717156701</v>
          </cell>
          <cell r="AC209">
            <v>58355.113158723994</v>
          </cell>
          <cell r="AD209">
            <v>90547.982943661002</v>
          </cell>
          <cell r="AE209">
            <v>107308.62111212409</v>
          </cell>
          <cell r="AF209">
            <v>28870.380156098799</v>
          </cell>
          <cell r="AG209">
            <v>58707.852215550003</v>
          </cell>
          <cell r="AH209">
            <v>90988.172700000025</v>
          </cell>
          <cell r="AI209">
            <v>103395.80927913031</v>
          </cell>
          <cell r="AJ209">
            <v>34543.396923864304</v>
          </cell>
          <cell r="AK209">
            <v>61748.511370017004</v>
          </cell>
          <cell r="AL209">
            <v>88533.589899999992</v>
          </cell>
          <cell r="AP209">
            <v>0</v>
          </cell>
          <cell r="AT209">
            <v>0</v>
          </cell>
          <cell r="AX209">
            <v>0</v>
          </cell>
          <cell r="AZ209">
            <v>945424.27374164388</v>
          </cell>
          <cell r="BA209">
            <v>439227.38503644784</v>
          </cell>
          <cell r="BB209">
            <v>450976.24543601484</v>
          </cell>
          <cell r="BC209">
            <v>733520.96858110302</v>
          </cell>
          <cell r="BE209">
            <v>322237.06382565363</v>
          </cell>
          <cell r="BF209">
            <v>286487.91457367974</v>
          </cell>
          <cell r="BG209">
            <v>143868.5556000339</v>
          </cell>
          <cell r="BH209">
            <v>232396.673014937</v>
          </cell>
          <cell r="BI209">
            <v>300246.16727084789</v>
          </cell>
          <cell r="BJ209">
            <v>66321.909665648302</v>
          </cell>
          <cell r="BK209">
            <v>128296.2130916899</v>
          </cell>
          <cell r="BL209">
            <v>231054.55002250499</v>
          </cell>
          <cell r="BM209">
            <v>322941.0426451423</v>
          </cell>
          <cell r="BN209">
            <v>86417.560797119804</v>
          </cell>
          <cell r="BO209">
            <v>178811.47674429102</v>
          </cell>
          <cell r="BP209">
            <v>270069.74554366106</v>
          </cell>
        </row>
        <row r="210">
          <cell r="D210">
            <v>2.4471049503519193</v>
          </cell>
          <cell r="E210">
            <v>1.7015028910783787</v>
          </cell>
          <cell r="F210">
            <v>2.9253665192870417</v>
          </cell>
          <cell r="G210">
            <v>2.4006607324103979</v>
          </cell>
          <cell r="H210">
            <v>2.2545359408289549</v>
          </cell>
          <cell r="I210">
            <v>1.8646342412292352</v>
          </cell>
          <cell r="J210">
            <v>3.3229303278633324</v>
          </cell>
          <cell r="K210">
            <v>2.2800110289041284</v>
          </cell>
          <cell r="L210">
            <v>2.0384237294044265</v>
          </cell>
          <cell r="M210">
            <v>2.0181325504974645</v>
          </cell>
          <cell r="N210">
            <v>3.4716028879200187</v>
          </cell>
          <cell r="O210">
            <v>2.3514569462283399</v>
          </cell>
          <cell r="P210">
            <v>1.3131672519928472</v>
          </cell>
          <cell r="Q210">
            <v>1.9964308049416177</v>
          </cell>
          <cell r="R210">
            <v>3.9356581790318548</v>
          </cell>
          <cell r="S210">
            <v>2.5104517582266728</v>
          </cell>
          <cell r="T210">
            <v>0.78455507185573903</v>
          </cell>
          <cell r="U210">
            <v>2.0284128204936773</v>
          </cell>
          <cell r="V210">
            <v>4.0606397125307101</v>
          </cell>
          <cell r="W210">
            <v>2.3446870842519365</v>
          </cell>
          <cell r="X210">
            <v>1.4128904083739262</v>
          </cell>
          <cell r="Y210">
            <v>2.2154662562682863</v>
          </cell>
          <cell r="Z210">
            <v>4.3233825071706562</v>
          </cell>
          <cell r="AA210">
            <v>2.3263299871993697</v>
          </cell>
          <cell r="AB210">
            <v>1.3729634494066503</v>
          </cell>
          <cell r="AC210">
            <v>2.2037507076751419</v>
          </cell>
          <cell r="AD210">
            <v>4.4271862515287301</v>
          </cell>
          <cell r="AE210">
            <v>2.1305669088334809</v>
          </cell>
          <cell r="AF210">
            <v>1.3463949134430262</v>
          </cell>
          <cell r="AG210">
            <v>2.2359082742774166</v>
          </cell>
          <cell r="AH210">
            <v>4.1758606427149942</v>
          </cell>
          <cell r="AI210">
            <v>2.2011743327080473</v>
          </cell>
          <cell r="AJ210">
            <v>1.1353671759935358</v>
          </cell>
          <cell r="AK210">
            <v>2.1519506612033878</v>
          </cell>
          <cell r="AL210">
            <v>3.7200620040270955</v>
          </cell>
          <cell r="AP210" t="e">
            <v>#DIV/0!</v>
          </cell>
          <cell r="AT210" t="e">
            <v>#DIV/0!</v>
          </cell>
          <cell r="AX210" t="e">
            <v>#DIV/0!</v>
          </cell>
          <cell r="AZ210">
            <v>2.3113716367435675</v>
          </cell>
          <cell r="BA210">
            <v>1.9105597637228477</v>
          </cell>
          <cell r="BB210">
            <v>2.0529275650005916</v>
          </cell>
          <cell r="BC210">
            <v>3.8303671275310336</v>
          </cell>
          <cell r="BE210">
            <v>2.3167743674383816</v>
          </cell>
          <cell r="BF210">
            <v>2.2771021282872845</v>
          </cell>
          <cell r="BG210">
            <v>1.8461473176461545</v>
          </cell>
          <cell r="BH210">
            <v>3.2296912630811332</v>
          </cell>
          <cell r="BI210">
            <v>2.402550188885471</v>
          </cell>
          <cell r="BJ210">
            <v>1.1630274687907316</v>
          </cell>
          <cell r="BK210">
            <v>2.0848142484567607</v>
          </cell>
          <cell r="BL210">
            <v>4.1068567683279351</v>
          </cell>
          <cell r="BM210">
            <v>2.2212097587265816</v>
          </cell>
          <cell r="BN210">
            <v>1.2691138842161906</v>
          </cell>
          <cell r="BO210">
            <v>2.1964207861583884</v>
          </cell>
          <cell r="BP210">
            <v>4.1107053889157239</v>
          </cell>
        </row>
        <row r="211">
          <cell r="D211">
            <v>991.30526056655162</v>
          </cell>
          <cell r="E211">
            <v>1018.3476213296811</v>
          </cell>
          <cell r="F211">
            <v>1014.4449124351884</v>
          </cell>
          <cell r="G211">
            <v>1065.0205777696244</v>
          </cell>
          <cell r="H211">
            <v>1002.8587481293069</v>
          </cell>
          <cell r="I211">
            <v>1023.2825755035682</v>
          </cell>
          <cell r="J211">
            <v>1028.8211955686365</v>
          </cell>
          <cell r="K211">
            <v>1071.1168447901255</v>
          </cell>
          <cell r="L211">
            <v>964.2373997444156</v>
          </cell>
          <cell r="M211">
            <v>1013.8530713506706</v>
          </cell>
          <cell r="N211">
            <v>1028.2378091156636</v>
          </cell>
          <cell r="O211">
            <v>1070.5308716503578</v>
          </cell>
          <cell r="P211">
            <v>1375.8393470059032</v>
          </cell>
          <cell r="Q211">
            <v>1074.2563010665108</v>
          </cell>
          <cell r="R211">
            <v>1032.9815841264131</v>
          </cell>
          <cell r="S211">
            <v>1054.2225239976258</v>
          </cell>
          <cell r="T211">
            <v>1459.5837752797388</v>
          </cell>
          <cell r="U211">
            <v>1078.4177635116075</v>
          </cell>
          <cell r="V211">
            <v>1020.901355543486</v>
          </cell>
          <cell r="W211">
            <v>1074.3728950626867</v>
          </cell>
          <cell r="X211">
            <v>1606.7092298880002</v>
          </cell>
          <cell r="Y211">
            <v>988.26480021545399</v>
          </cell>
          <cell r="Z211">
            <v>1021.7323609845521</v>
          </cell>
          <cell r="AA211">
            <v>1041.4885965330848</v>
          </cell>
          <cell r="AB211">
            <v>1237.0139585978602</v>
          </cell>
          <cell r="AC211">
            <v>973.67232446232879</v>
          </cell>
          <cell r="AD211">
            <v>1001.4689232311461</v>
          </cell>
          <cell r="AE211">
            <v>1037.9729360591759</v>
          </cell>
          <cell r="AF211">
            <v>1204.8411757333408</v>
          </cell>
          <cell r="AG211">
            <v>975.41278725636653</v>
          </cell>
          <cell r="AH211">
            <v>1021.9316243367253</v>
          </cell>
          <cell r="AI211">
            <v>1042.5535296216212</v>
          </cell>
          <cell r="AJ211">
            <v>1152.262750243566</v>
          </cell>
          <cell r="AK211">
            <v>975.1486860445674</v>
          </cell>
          <cell r="AL211">
            <v>1027.8017624582099</v>
          </cell>
          <cell r="AP211" t="e">
            <v>#DIV/0!</v>
          </cell>
          <cell r="AT211" t="e">
            <v>#DIV/0!</v>
          </cell>
          <cell r="AX211" t="e">
            <v>#DIV/0!</v>
          </cell>
          <cell r="AZ211">
            <v>1056.6602626863778</v>
          </cell>
          <cell r="BA211">
            <v>1079.4547762120299</v>
          </cell>
          <cell r="BB211">
            <v>1007.5019405733217</v>
          </cell>
          <cell r="BC211">
            <v>1021.5269311590091</v>
          </cell>
          <cell r="BE211">
            <v>1064.1273114760581</v>
          </cell>
          <cell r="BF211">
            <v>988.61920020086473</v>
          </cell>
          <cell r="BG211">
            <v>1018.5597193005724</v>
          </cell>
          <cell r="BH211">
            <v>1023.4338123456905</v>
          </cell>
          <cell r="BI211">
            <v>1066.2658968721018</v>
          </cell>
          <cell r="BJ211">
            <v>1487.8863618153732</v>
          </cell>
          <cell r="BK211">
            <v>1043.666769829948</v>
          </cell>
          <cell r="BL211">
            <v>1025.0939659357182</v>
          </cell>
          <cell r="BM211">
            <v>1040.6577108386607</v>
          </cell>
          <cell r="BN211">
            <v>1191.359173457387</v>
          </cell>
          <cell r="BO211">
            <v>974.75299253561047</v>
          </cell>
          <cell r="BP211">
            <v>1016.8693292638229</v>
          </cell>
        </row>
        <row r="212">
          <cell r="D212">
            <v>2.423604535745739</v>
          </cell>
          <cell r="E212">
            <v>1.7040593194855831</v>
          </cell>
          <cell r="F212">
            <v>2.9471674382030897</v>
          </cell>
          <cell r="G212">
            <v>2.3546489580246277</v>
          </cell>
          <cell r="H212">
            <v>2.1970525214147218</v>
          </cell>
          <cell r="I212">
            <v>1.8732752012583385</v>
          </cell>
          <cell r="J212">
            <v>3.3480361900748066</v>
          </cell>
          <cell r="K212">
            <v>2.2759867346523674</v>
          </cell>
          <cell r="L212">
            <v>1.9571913466924939</v>
          </cell>
          <cell r="M212">
            <v>2.0271309556377535</v>
          </cell>
          <cell r="N212">
            <v>3.4952145590147299</v>
          </cell>
          <cell r="O212">
            <v>2.3686056531287702</v>
          </cell>
          <cell r="P212">
            <v>1.3131672519928472</v>
          </cell>
          <cell r="Q212">
            <v>2.0074546237443402</v>
          </cell>
          <cell r="R212">
            <v>3.9643847934473602</v>
          </cell>
          <cell r="S212">
            <v>2.4836205552507358</v>
          </cell>
          <cell r="T212">
            <v>0.78455507185573903</v>
          </cell>
          <cell r="U212">
            <v>2.0377742413510016</v>
          </cell>
          <cell r="V212">
            <v>4.0880803017547978</v>
          </cell>
          <cell r="W212">
            <v>2.3119011256260178</v>
          </cell>
          <cell r="X212">
            <v>1.4128904083739262</v>
          </cell>
          <cell r="Y212">
            <v>2.2245715230934042</v>
          </cell>
          <cell r="Z212">
            <v>4.3517093348840739</v>
          </cell>
          <cell r="AA212">
            <v>2.3051248162174631</v>
          </cell>
          <cell r="AB212">
            <v>1.3729634494066503</v>
          </cell>
          <cell r="AC212">
            <v>2.2251688136875565</v>
          </cell>
          <cell r="AD212">
            <v>4.4414862608487136</v>
          </cell>
          <cell r="AE212">
            <v>2.0865310163527737</v>
          </cell>
          <cell r="AF212">
            <v>1.3463949134430262</v>
          </cell>
          <cell r="AG212">
            <v>2.2547039882808613</v>
          </cell>
          <cell r="AH212">
            <v>4.1901865266328713</v>
          </cell>
          <cell r="AI212">
            <v>2.1751185892681346</v>
          </cell>
          <cell r="AJ212">
            <v>1.1353671759935358</v>
          </cell>
          <cell r="AK212">
            <v>2.1723181805507559</v>
          </cell>
          <cell r="AL212">
            <v>3.7347850712998931</v>
          </cell>
          <cell r="AP212" t="e">
            <v>#DIV/0!</v>
          </cell>
          <cell r="AT212" t="e">
            <v>#DIV/0!</v>
          </cell>
          <cell r="AX212" t="e">
            <v>#DIV/0!</v>
          </cell>
          <cell r="AZ212">
            <v>2.2869640407377312</v>
          </cell>
          <cell r="BA212">
            <v>1.8779663176904926</v>
          </cell>
          <cell r="BB212">
            <v>2.0657443708933538</v>
          </cell>
          <cell r="BC212">
            <v>3.8519773400252482</v>
          </cell>
          <cell r="BE212">
            <v>2.288835360419859</v>
          </cell>
          <cell r="BF212">
            <v>2.2271316641180672</v>
          </cell>
          <cell r="BG212">
            <v>1.8525157280064219</v>
          </cell>
          <cell r="BH212">
            <v>3.2531190812566977</v>
          </cell>
          <cell r="BI212">
            <v>2.3883183069453109</v>
          </cell>
          <cell r="BJ212">
            <v>1.1630274687907316</v>
          </cell>
          <cell r="BK212">
            <v>2.0945798133928406</v>
          </cell>
          <cell r="BL212">
            <v>4.1350111067703779</v>
          </cell>
          <cell r="BM212">
            <v>2.1908652659551033</v>
          </cell>
          <cell r="BN212">
            <v>1.2691138842161906</v>
          </cell>
          <cell r="BO212">
            <v>2.2166151051458867</v>
          </cell>
          <cell r="BP212">
            <v>4.1251528013504108</v>
          </cell>
        </row>
        <row r="214">
          <cell r="D214">
            <v>-1345.5055067371577</v>
          </cell>
          <cell r="E214">
            <v>-56236.976748270637</v>
          </cell>
          <cell r="F214">
            <v>27019.562486459399</v>
          </cell>
          <cell r="G214">
            <v>8135.4014934075385</v>
          </cell>
          <cell r="H214">
            <v>1800.6442014188506</v>
          </cell>
          <cell r="I214">
            <v>-58513.392210755585</v>
          </cell>
          <cell r="J214">
            <v>27074.536847230804</v>
          </cell>
          <cell r="K214">
            <v>5741.0331275367062</v>
          </cell>
          <cell r="L214">
            <v>-36204.28794665559</v>
          </cell>
          <cell r="M214">
            <v>-27868.990014619616</v>
          </cell>
          <cell r="N214">
            <v>34434.018081212897</v>
          </cell>
          <cell r="O214">
            <v>8290.5777630732919</v>
          </cell>
          <cell r="P214">
            <v>-82170.321048242695</v>
          </cell>
          <cell r="Q214">
            <v>20778.173842668504</v>
          </cell>
          <cell r="R214">
            <v>37327.853622822091</v>
          </cell>
          <cell r="S214">
            <v>4184.3085258244537</v>
          </cell>
          <cell r="T214">
            <v>-77125.25477886686</v>
          </cell>
          <cell r="U214">
            <v>21316.309829004203</v>
          </cell>
          <cell r="V214">
            <v>34089.733307992996</v>
          </cell>
          <cell r="W214">
            <v>6427.8165579029301</v>
          </cell>
          <cell r="X214">
            <v>-74628.681778090046</v>
          </cell>
          <cell r="Y214">
            <v>19879.819754368898</v>
          </cell>
          <cell r="Z214">
            <v>31340.750000000015</v>
          </cell>
          <cell r="AA214">
            <v>7487.1321925635857</v>
          </cell>
          <cell r="AB214">
            <v>-89232.828536731191</v>
          </cell>
          <cell r="AC214">
            <v>35351.329441567294</v>
          </cell>
          <cell r="AD214">
            <v>32192.869784937007</v>
          </cell>
          <cell r="AE214">
            <v>2577.8165452652465</v>
          </cell>
          <cell r="AF214">
            <v>-78438.240956025285</v>
          </cell>
          <cell r="AG214">
            <v>29837.472059451204</v>
          </cell>
          <cell r="AH214">
            <v>32280.320484450021</v>
          </cell>
          <cell r="AI214">
            <v>3345.0065225438011</v>
          </cell>
          <cell r="AJ214">
            <v>-68852.412355266002</v>
          </cell>
          <cell r="AK214">
            <v>27205.1144461527</v>
          </cell>
          <cell r="AL214">
            <v>26785.078529982988</v>
          </cell>
          <cell r="AP214">
            <v>0</v>
          </cell>
          <cell r="AT214">
            <v>0</v>
          </cell>
          <cell r="AX214">
            <v>0</v>
          </cell>
          <cell r="BA214">
            <v>-506196.88870519603</v>
          </cell>
          <cell r="BB214">
            <v>11748.860399566998</v>
          </cell>
          <cell r="BC214">
            <v>282544.72314508818</v>
          </cell>
          <cell r="BE214">
            <v>322237.06382565363</v>
          </cell>
          <cell r="BF214">
            <v>-35749.149251973897</v>
          </cell>
          <cell r="BG214">
            <v>-142619.35897364584</v>
          </cell>
          <cell r="BH214">
            <v>88528.117414903099</v>
          </cell>
          <cell r="BI214">
            <v>300246.16727084789</v>
          </cell>
          <cell r="BJ214">
            <v>-233924.25760519959</v>
          </cell>
          <cell r="BK214">
            <v>61974.303426041603</v>
          </cell>
          <cell r="BL214">
            <v>102758.33693081509</v>
          </cell>
          <cell r="BM214">
            <v>322941.0426451423</v>
          </cell>
          <cell r="BN214">
            <v>-236523.48184802249</v>
          </cell>
          <cell r="BO214">
            <v>92393.915947171219</v>
          </cell>
          <cell r="BP214">
            <v>91258.268799370038</v>
          </cell>
        </row>
        <row r="215">
          <cell r="D215">
            <v>0.17105528039797768</v>
          </cell>
          <cell r="E215">
            <v>-0.74560205927354062</v>
          </cell>
          <cell r="F215">
            <v>1.223863628208663</v>
          </cell>
          <cell r="G215">
            <v>-0.10416243352614574</v>
          </cell>
          <cell r="H215">
            <v>-0.14612479158144298</v>
          </cell>
          <cell r="I215">
            <v>-0.38990169959971976</v>
          </cell>
          <cell r="J215">
            <v>1.4582960866340973</v>
          </cell>
          <cell r="K215">
            <v>-8.5290752815820436E-2</v>
          </cell>
          <cell r="L215">
            <v>-0.24158729949970192</v>
          </cell>
          <cell r="M215">
            <v>-2.0291178906961971E-2</v>
          </cell>
          <cell r="N215">
            <v>1.4534703374225542</v>
          </cell>
          <cell r="O215">
            <v>-2.1796726842178593E-2</v>
          </cell>
          <cell r="P215">
            <v>-1.0382896942354927</v>
          </cell>
          <cell r="Q215">
            <v>0.6832635529487705</v>
          </cell>
          <cell r="R215">
            <v>1.939227374090237</v>
          </cell>
          <cell r="S215">
            <v>9.4580626423640179E-2</v>
          </cell>
          <cell r="T215">
            <v>-1.7258966863709337</v>
          </cell>
          <cell r="U215">
            <v>1.2438577486379383</v>
          </cell>
          <cell r="V215">
            <v>2.0322268920370328</v>
          </cell>
          <cell r="W215">
            <v>-0.17549955320195965</v>
          </cell>
          <cell r="X215">
            <v>-0.93179667587801029</v>
          </cell>
          <cell r="Y215">
            <v>0.80257584789436009</v>
          </cell>
          <cell r="Z215">
            <v>2.1079162509023699</v>
          </cell>
          <cell r="AA215">
            <v>-0.23774471880181114</v>
          </cell>
          <cell r="AB215">
            <v>-0.9533665377927194</v>
          </cell>
          <cell r="AC215">
            <v>0.83078725826849165</v>
          </cell>
          <cell r="AD215">
            <v>2.2234355438535882</v>
          </cell>
          <cell r="AE215">
            <v>-0.43286512222429696</v>
          </cell>
          <cell r="AF215">
            <v>-0.78417199539045468</v>
          </cell>
          <cell r="AG215">
            <v>0.88951336083439037</v>
          </cell>
          <cell r="AH215">
            <v>1.9399523684375777</v>
          </cell>
          <cell r="AI215">
            <v>0.10017087633896793</v>
          </cell>
          <cell r="AJ215">
            <v>-1.0658071567145115</v>
          </cell>
          <cell r="AK215">
            <v>1.0165834852098521</v>
          </cell>
          <cell r="AL215">
            <v>1.5681113428237077</v>
          </cell>
          <cell r="AP215" t="e">
            <v>#DIV/0!</v>
          </cell>
          <cell r="AT215" t="e">
            <v>#DIV/0!</v>
          </cell>
          <cell r="AX215" t="e">
            <v>#DIV/0!</v>
          </cell>
          <cell r="BA215">
            <v>-0.40081187302071974</v>
          </cell>
          <cell r="BB215">
            <v>0.14236780127774384</v>
          </cell>
          <cell r="BC215">
            <v>1.777439562530442</v>
          </cell>
          <cell r="BF215">
            <v>-3.9672239151097077E-2</v>
          </cell>
          <cell r="BG215">
            <v>-0.43095481064113006</v>
          </cell>
          <cell r="BH215">
            <v>1.3835439454349787</v>
          </cell>
          <cell r="BJ215">
            <v>-1.2395227200947394</v>
          </cell>
          <cell r="BK215">
            <v>0.92178677966602907</v>
          </cell>
          <cell r="BL215">
            <v>2.0220425198711744</v>
          </cell>
          <cell r="BN215">
            <v>-0.9520958745103909</v>
          </cell>
          <cell r="BO215">
            <v>0.92730690194219778</v>
          </cell>
          <cell r="BP215">
            <v>1.9142846027573355</v>
          </cell>
        </row>
        <row r="217">
          <cell r="D217">
            <v>275210.86701652274</v>
          </cell>
          <cell r="E217">
            <v>95670.203348679308</v>
          </cell>
          <cell r="F217">
            <v>243526.363388903</v>
          </cell>
          <cell r="G217">
            <v>244689.91160634803</v>
          </cell>
          <cell r="H217">
            <v>233855.60307667608</v>
          </cell>
          <cell r="I217">
            <v>84306.306594684094</v>
          </cell>
          <cell r="J217">
            <v>240207.515352185</v>
          </cell>
          <cell r="K217">
            <v>242824.89072280753</v>
          </cell>
          <cell r="L217">
            <v>143295.76991111308</v>
          </cell>
          <cell r="M217">
            <v>85626.038071265808</v>
          </cell>
          <cell r="N217">
            <v>266835.625664377</v>
          </cell>
          <cell r="O217">
            <v>234083.21844240007</v>
          </cell>
          <cell r="P217">
            <v>22820.012442991701</v>
          </cell>
          <cell r="Q217">
            <v>76175.844537753699</v>
          </cell>
          <cell r="R217">
            <v>297078.70650339103</v>
          </cell>
          <cell r="S217">
            <v>252904.6489677545</v>
          </cell>
          <cell r="T217">
            <v>18527.611549512902</v>
          </cell>
          <cell r="U217">
            <v>91140.133065654198</v>
          </cell>
          <cell r="V217">
            <v>320877.76389159099</v>
          </cell>
          <cell r="W217">
            <v>234368.61847855977</v>
          </cell>
          <cell r="X217">
            <v>35786.578731301903</v>
          </cell>
          <cell r="Y217">
            <v>100157.795473192</v>
          </cell>
          <cell r="Z217">
            <v>330951.47221790801</v>
          </cell>
          <cell r="AA217">
            <v>261099.39674788763</v>
          </cell>
          <cell r="AB217">
            <v>31583.354241712001</v>
          </cell>
          <cell r="AC217">
            <v>128600.12192000099</v>
          </cell>
          <cell r="AD217">
            <v>400872.78519183397</v>
          </cell>
          <cell r="AE217">
            <v>228628.19717404144</v>
          </cell>
          <cell r="AF217">
            <v>38870.932991337904</v>
          </cell>
          <cell r="AG217">
            <v>131265.37253380401</v>
          </cell>
          <cell r="AH217">
            <v>379953.929330485</v>
          </cell>
          <cell r="AI217">
            <v>227592.20149479818</v>
          </cell>
          <cell r="AJ217">
            <v>39219.439014671603</v>
          </cell>
          <cell r="AK217">
            <v>132879.74987103301</v>
          </cell>
          <cell r="AL217">
            <v>329350.44386710698</v>
          </cell>
          <cell r="AP217">
            <v>0</v>
          </cell>
          <cell r="AT217">
            <v>0</v>
          </cell>
          <cell r="AX217">
            <v>0</v>
          </cell>
          <cell r="AZ217">
            <v>2185226.8510153219</v>
          </cell>
          <cell r="BA217">
            <v>839170.16897584009</v>
          </cell>
          <cell r="BB217">
            <v>925821.56541606714</v>
          </cell>
          <cell r="BC217">
            <v>2809654.605407781</v>
          </cell>
          <cell r="BF217">
            <v>652362.2400043119</v>
          </cell>
          <cell r="BG217">
            <v>265602.54801462922</v>
          </cell>
          <cell r="BH217">
            <v>750569.50440546498</v>
          </cell>
          <cell r="BJ217">
            <v>77134.202723806506</v>
          </cell>
          <cell r="BK217">
            <v>267473.77307659993</v>
          </cell>
          <cell r="BL217">
            <v>948907.94261289004</v>
          </cell>
          <cell r="BN217">
            <v>109673.72624772151</v>
          </cell>
          <cell r="BO217">
            <v>392745.24432483804</v>
          </cell>
          <cell r="BP217">
            <v>1110177.1583894258</v>
          </cell>
        </row>
        <row r="218">
          <cell r="D218">
            <v>19237.537000328401</v>
          </cell>
          <cell r="E218">
            <v>-41922.879474324567</v>
          </cell>
          <cell r="F218">
            <v>101882.29635384012</v>
          </cell>
          <cell r="G218">
            <v>-10616.867393262948</v>
          </cell>
          <cell r="H218">
            <v>-15157.044357060657</v>
          </cell>
          <cell r="I218">
            <v>-17628.750723022502</v>
          </cell>
          <cell r="J218">
            <v>105417.10028673171</v>
          </cell>
          <cell r="K218">
            <v>-9083.6041885823906</v>
          </cell>
          <cell r="L218">
            <v>-16982.944999698884</v>
          </cell>
          <cell r="M218">
            <v>-860.92127951165219</v>
          </cell>
          <cell r="N218">
            <v>111717.1748589972</v>
          </cell>
          <cell r="O218">
            <v>-2169.8241079475665</v>
          </cell>
          <cell r="P218">
            <v>-18043.233796705317</v>
          </cell>
          <cell r="Q218">
            <v>26070.614648355342</v>
          </cell>
          <cell r="R218">
            <v>146380.38511068374</v>
          </cell>
          <cell r="S218">
            <v>9528.1178164194298</v>
          </cell>
          <cell r="T218">
            <v>-40757.80595495522</v>
          </cell>
          <cell r="U218">
            <v>55888.702526547713</v>
          </cell>
          <cell r="V218">
            <v>160589.57873679342</v>
          </cell>
          <cell r="W218">
            <v>-17542.463599431929</v>
          </cell>
          <cell r="X218">
            <v>-23601.133467422289</v>
          </cell>
          <cell r="Y218">
            <v>36283.210090739783</v>
          </cell>
          <cell r="Z218">
            <v>161359.30267357573</v>
          </cell>
          <cell r="AA218">
            <v>-26683.66181956849</v>
          </cell>
          <cell r="AB218">
            <v>-21931.037638558217</v>
          </cell>
          <cell r="AC218">
            <v>48480.684467083884</v>
          </cell>
          <cell r="AD218">
            <v>201327.60370118433</v>
          </cell>
          <cell r="AE218">
            <v>-46450.15939342037</v>
          </cell>
          <cell r="AF218">
            <v>-22639.343614688984</v>
          </cell>
          <cell r="AG218">
            <v>52221.418931622597</v>
          </cell>
          <cell r="AH218">
            <v>176512.72112917239</v>
          </cell>
          <cell r="AI218">
            <v>10357.248825267274</v>
          </cell>
          <cell r="AJ218">
            <v>-36816.599658684616</v>
          </cell>
          <cell r="AK218">
            <v>62772.516895052067</v>
          </cell>
          <cell r="AL218">
            <v>138830.52654309242</v>
          </cell>
          <cell r="AP218" t="e">
            <v>#DIV/0!</v>
          </cell>
          <cell r="AT218" t="e">
            <v>#DIV/0!</v>
          </cell>
          <cell r="AX218" t="e">
            <v>#DIV/0!</v>
          </cell>
          <cell r="BA218">
            <v>-176047.55087845153</v>
          </cell>
          <cell r="BB218">
            <v>64204.496491217593</v>
          </cell>
          <cell r="BC218">
            <v>1303789.1895017019</v>
          </cell>
          <cell r="BF218">
            <v>-11365.617060866092</v>
          </cell>
          <cell r="BG218">
            <v>-62000.846135825501</v>
          </cell>
          <cell r="BH218">
            <v>321531.00988904858</v>
          </cell>
          <cell r="BJ218">
            <v>-82207.513870641968</v>
          </cell>
          <cell r="BK218">
            <v>118261.75310913548</v>
          </cell>
          <cell r="BL218">
            <v>467202.12455520633</v>
          </cell>
          <cell r="BN218">
            <v>-82277.803120188648</v>
          </cell>
          <cell r="BO218">
            <v>165813.11653145787</v>
          </cell>
          <cell r="BP218">
            <v>516990.35556482186</v>
          </cell>
        </row>
        <row r="219">
          <cell r="D219">
            <v>-3062.437364530319</v>
          </cell>
          <cell r="E219">
            <v>-137617.78419351886</v>
          </cell>
          <cell r="F219">
            <v>45973.863686383578</v>
          </cell>
          <cell r="G219">
            <v>20377.742124881956</v>
          </cell>
          <cell r="H219">
            <v>4322.7358273887139</v>
          </cell>
          <cell r="I219">
            <v>-131920.54575896947</v>
          </cell>
          <cell r="J219">
            <v>50484.108470769177</v>
          </cell>
          <cell r="K219">
            <v>13579.275885475821</v>
          </cell>
          <cell r="L219">
            <v>-82546.175811995548</v>
          </cell>
          <cell r="M219">
            <v>-56808.810560335638</v>
          </cell>
          <cell r="N219">
            <v>69492.412734113997</v>
          </cell>
          <cell r="O219">
            <v>19675.644128090451</v>
          </cell>
          <cell r="P219">
            <v>-193219.97220270304</v>
          </cell>
          <cell r="Q219">
            <v>27285.217446406659</v>
          </cell>
          <cell r="R219">
            <v>74522.476854953595</v>
          </cell>
          <cell r="S219">
            <v>10108.750174096602</v>
          </cell>
          <cell r="T219">
            <v>-193619.23146328641</v>
          </cell>
          <cell r="U219">
            <v>16723.81898959359</v>
          </cell>
          <cell r="V219">
            <v>69148.052089143326</v>
          </cell>
          <cell r="W219">
            <v>16199.297397231861</v>
          </cell>
          <cell r="X219">
            <v>-174980.90627983556</v>
          </cell>
          <cell r="Y219">
            <v>28088.006651150317</v>
          </cell>
          <cell r="Z219">
            <v>69434.374071140322</v>
          </cell>
          <cell r="AA219">
            <v>19197.566275439451</v>
          </cell>
          <cell r="AB219">
            <v>-207585.00486761742</v>
          </cell>
          <cell r="AC219">
            <v>48536.083211205107</v>
          </cell>
          <cell r="AD219">
            <v>70945.05957064862</v>
          </cell>
          <cell r="AE219">
            <v>6608.0575023236352</v>
          </cell>
          <cell r="AF219">
            <v>-167117.92056801452</v>
          </cell>
          <cell r="AG219">
            <v>40173.020610843516</v>
          </cell>
          <cell r="AH219">
            <v>72175.835667508582</v>
          </cell>
          <cell r="AI219">
            <v>7027.8702654416411</v>
          </cell>
          <cell r="AJ219">
            <v>-151556.16282144195</v>
          </cell>
          <cell r="AK219">
            <v>30887.793961309333</v>
          </cell>
          <cell r="AL219">
            <v>57640.167452981557</v>
          </cell>
          <cell r="AP219">
            <v>0</v>
          </cell>
          <cell r="AT219">
            <v>0</v>
          </cell>
          <cell r="AX219">
            <v>0</v>
          </cell>
          <cell r="BA219">
            <v>-1170009.1311610304</v>
          </cell>
          <cell r="BB219">
            <v>22446.899949009447</v>
          </cell>
          <cell r="BC219">
            <v>580043.85049001221</v>
          </cell>
          <cell r="BF219">
            <v>-82822.712644702115</v>
          </cell>
          <cell r="BG219">
            <v>-324758.84585385717</v>
          </cell>
          <cell r="BH219">
            <v>163435.94650178717</v>
          </cell>
          <cell r="BJ219">
            <v>-562014.76929426589</v>
          </cell>
          <cell r="BK219">
            <v>72077.817243657933</v>
          </cell>
          <cell r="BL219">
            <v>214232.04498108386</v>
          </cell>
          <cell r="BN219">
            <v>-525368.26604881708</v>
          </cell>
          <cell r="BO219">
            <v>117258.40154565871</v>
          </cell>
          <cell r="BP219">
            <v>200441.55849976587</v>
          </cell>
        </row>
        <row r="220">
          <cell r="D220">
            <v>16175.099635798077</v>
          </cell>
          <cell r="E220">
            <v>-179540.66366784344</v>
          </cell>
          <cell r="F220">
            <v>147856.16004022368</v>
          </cell>
          <cell r="G220">
            <v>9760.8747316190274</v>
          </cell>
          <cell r="H220">
            <v>-10834.308529671951</v>
          </cell>
          <cell r="I220">
            <v>-149549.296481992</v>
          </cell>
          <cell r="J220">
            <v>155901.20875750092</v>
          </cell>
          <cell r="K220">
            <v>4495.6716968934343</v>
          </cell>
          <cell r="L220">
            <v>-99529.120811694447</v>
          </cell>
          <cell r="M220">
            <v>-57669.731839847271</v>
          </cell>
          <cell r="N220">
            <v>181209.58759311121</v>
          </cell>
          <cell r="O220">
            <v>17505.820020142914</v>
          </cell>
          <cell r="P220">
            <v>-211263.20599940838</v>
          </cell>
          <cell r="Q220">
            <v>53355.832094761994</v>
          </cell>
          <cell r="R220">
            <v>220902.86196563733</v>
          </cell>
          <cell r="S220">
            <v>19636.86799051601</v>
          </cell>
          <cell r="T220">
            <v>-234377.03741824161</v>
          </cell>
          <cell r="U220">
            <v>72612.521516141293</v>
          </cell>
          <cell r="V220">
            <v>229737.63082593679</v>
          </cell>
          <cell r="W220">
            <v>-1343.1662022000528</v>
          </cell>
          <cell r="X220">
            <v>-198582.03974725786</v>
          </cell>
          <cell r="Y220">
            <v>64371.216741890101</v>
          </cell>
          <cell r="Z220">
            <v>230793.67674471601</v>
          </cell>
          <cell r="AA220">
            <v>-7486.0955441290571</v>
          </cell>
          <cell r="AB220">
            <v>-229516.04250617564</v>
          </cell>
          <cell r="AC220">
            <v>97016.76767828899</v>
          </cell>
          <cell r="AD220">
            <v>272272.66327183298</v>
          </cell>
          <cell r="AE220">
            <v>-39842.10189109671</v>
          </cell>
          <cell r="AF220">
            <v>-189757.26418270354</v>
          </cell>
          <cell r="AG220">
            <v>92394.439542466105</v>
          </cell>
          <cell r="AH220">
            <v>248688.55679668099</v>
          </cell>
          <cell r="AI220">
            <v>17385.119090708933</v>
          </cell>
          <cell r="AJ220">
            <v>-188372.76248012658</v>
          </cell>
          <cell r="AK220">
            <v>93660.310856361408</v>
          </cell>
          <cell r="AL220">
            <v>196470.69399607397</v>
          </cell>
          <cell r="AP220">
            <v>0</v>
          </cell>
          <cell r="AT220">
            <v>0</v>
          </cell>
          <cell r="AX220">
            <v>0</v>
          </cell>
          <cell r="BA220">
            <v>-1346056.6820394818</v>
          </cell>
          <cell r="BB220">
            <v>86651.39644022705</v>
          </cell>
          <cell r="BC220">
            <v>1883833.0399917138</v>
          </cell>
          <cell r="BF220">
            <v>652362.2400043119</v>
          </cell>
          <cell r="BG220">
            <v>-386759.69198968267</v>
          </cell>
          <cell r="BH220">
            <v>484966.95639083575</v>
          </cell>
          <cell r="BJ220">
            <v>77134.202723806506</v>
          </cell>
          <cell r="BK220">
            <v>190339.57035279344</v>
          </cell>
          <cell r="BL220">
            <v>681434.16953629011</v>
          </cell>
          <cell r="BN220">
            <v>109673.72624772151</v>
          </cell>
          <cell r="BO220">
            <v>283071.51807711652</v>
          </cell>
          <cell r="BP220">
            <v>717431.91406458779</v>
          </cell>
        </row>
        <row r="222">
          <cell r="AZ222">
            <v>47.88330082895547</v>
          </cell>
          <cell r="BA222">
            <v>58.835122081097502</v>
          </cell>
          <cell r="BB222">
            <v>68.259347999863621</v>
          </cell>
          <cell r="BC222">
            <v>63.355600796856784</v>
          </cell>
          <cell r="BE222">
            <v>45.341163337569903</v>
          </cell>
          <cell r="BG222">
            <v>63.213931422018099</v>
          </cell>
          <cell r="BH222">
            <v>62.101732833309264</v>
          </cell>
          <cell r="BI222">
            <v>46.723960453078014</v>
          </cell>
          <cell r="BK222">
            <v>73.315921851990467</v>
          </cell>
          <cell r="BL222">
            <v>66.819290378959394</v>
          </cell>
          <cell r="BM222">
            <v>52.072874159876378</v>
          </cell>
          <cell r="BO222">
            <v>68.8256695531351</v>
          </cell>
          <cell r="BP222">
            <v>61.402202267698527</v>
          </cell>
        </row>
        <row r="223">
          <cell r="AZ223">
            <v>47.88330082895547</v>
          </cell>
          <cell r="BA223">
            <v>61.084460680625817</v>
          </cell>
          <cell r="BB223">
            <v>67.32898448473756</v>
          </cell>
          <cell r="BC223">
            <v>52.46245522027008</v>
          </cell>
          <cell r="BG223">
            <v>66.045580941803237</v>
          </cell>
          <cell r="BH223">
            <v>53.457461946000549</v>
          </cell>
          <cell r="BK223">
            <v>66.978412036640648</v>
          </cell>
          <cell r="BL223">
            <v>54.638773081682693</v>
          </cell>
          <cell r="BO223">
            <v>62.998229494894652</v>
          </cell>
          <cell r="BP223">
            <v>49.688784440222364</v>
          </cell>
        </row>
        <row r="225">
          <cell r="AZ225">
            <v>47.761863880723439</v>
          </cell>
          <cell r="BA225">
            <v>39.771438582131168</v>
          </cell>
          <cell r="BB225">
            <v>42.661445318913628</v>
          </cell>
          <cell r="BC225">
            <v>55.568952806561192</v>
          </cell>
          <cell r="BE225">
            <v>44.41981386371738</v>
          </cell>
          <cell r="BG225">
            <v>38.4641990035731</v>
          </cell>
          <cell r="BH225">
            <v>51.536307663805346</v>
          </cell>
          <cell r="BI225">
            <v>44.856419159854241</v>
          </cell>
          <cell r="BK225">
            <v>44.256514118232047</v>
          </cell>
          <cell r="BL225">
            <v>56.736496578352067</v>
          </cell>
          <cell r="BM225">
            <v>54.758818625176318</v>
          </cell>
          <cell r="BO225">
            <v>44.845211141189822</v>
          </cell>
          <cell r="BP225">
            <v>57.952797054796612</v>
          </cell>
        </row>
        <row r="227">
          <cell r="AZ227">
            <v>58.966068979154599</v>
          </cell>
          <cell r="BA227">
            <v>52.443890306464112</v>
          </cell>
          <cell r="BB227">
            <v>43.188514084784018</v>
          </cell>
          <cell r="BC227">
            <v>65.2782102008143</v>
          </cell>
          <cell r="BE227">
            <v>57.069012238315196</v>
          </cell>
          <cell r="BG227">
            <v>36.390892489009417</v>
          </cell>
          <cell r="BH227">
            <v>57.354026249961976</v>
          </cell>
          <cell r="BI227">
            <v>57.977195453465065</v>
          </cell>
          <cell r="BK227">
            <v>42.370232380597486</v>
          </cell>
          <cell r="BL227">
            <v>67.740042373871546</v>
          </cell>
          <cell r="BM227">
            <v>61.77778808301256</v>
          </cell>
          <cell r="BO227">
            <v>48.587877918743033</v>
          </cell>
          <cell r="BP227">
            <v>69.94263142010351</v>
          </cell>
        </row>
        <row r="228">
          <cell r="AZ228">
            <v>16.631148462613595</v>
          </cell>
          <cell r="BA228">
            <v>24.688355771668636</v>
          </cell>
          <cell r="BB228">
            <v>31.731105944383582</v>
          </cell>
          <cell r="BC228">
            <v>28.934502977678271</v>
          </cell>
          <cell r="BE228">
            <v>16.431132070106951</v>
          </cell>
          <cell r="BG228">
            <v>30.842724994145808</v>
          </cell>
          <cell r="BH228">
            <v>30.12178608529333</v>
          </cell>
          <cell r="BI228">
            <v>17.69927281058586</v>
          </cell>
          <cell r="BK228">
            <v>33.778686312383499</v>
          </cell>
          <cell r="BL228">
            <v>31.716263813215363</v>
          </cell>
          <cell r="BM228">
            <v>15.811827581242021</v>
          </cell>
          <cell r="BO228">
            <v>30.670828583901034</v>
          </cell>
          <cell r="BP228">
            <v>25.390495252957336</v>
          </cell>
        </row>
        <row r="236">
          <cell r="D236">
            <v>32320.422385728401</v>
          </cell>
          <cell r="E236">
            <v>21898.266041777999</v>
          </cell>
          <cell r="F236">
            <v>-5949.2454956973907</v>
          </cell>
          <cell r="G236">
            <v>-39969.398198809802</v>
          </cell>
          <cell r="H236">
            <v>14395.559050456901</v>
          </cell>
          <cell r="I236">
            <v>-27835.568256376402</v>
          </cell>
          <cell r="J236">
            <v>-1013.48797598024</v>
          </cell>
          <cell r="K236">
            <v>14253.884452983501</v>
          </cell>
          <cell r="L236">
            <v>-57580.164947479207</v>
          </cell>
          <cell r="M236">
            <v>-7389.5949502839503</v>
          </cell>
          <cell r="N236">
            <v>55710.8866744154</v>
          </cell>
          <cell r="O236">
            <v>1450.46118611526</v>
          </cell>
          <cell r="P236">
            <v>3886.2399094433799</v>
          </cell>
          <cell r="Q236">
            <v>15935.8774358152</v>
          </cell>
          <cell r="R236">
            <v>25551.145149748299</v>
          </cell>
          <cell r="S236">
            <v>10741.6935270549</v>
          </cell>
          <cell r="T236">
            <v>13181.6726172745</v>
          </cell>
          <cell r="U236">
            <v>20305.118085333197</v>
          </cell>
          <cell r="V236">
            <v>3489.3663927347902</v>
          </cell>
          <cell r="W236">
            <v>11813.137119941199</v>
          </cell>
          <cell r="X236">
            <v>30381.7455273339</v>
          </cell>
          <cell r="Y236">
            <v>20766.6009232057</v>
          </cell>
          <cell r="Z236">
            <v>9117.6480316795205</v>
          </cell>
          <cell r="AA236">
            <v>33291.332435575998</v>
          </cell>
          <cell r="AB236">
            <v>-36377.610451025299</v>
          </cell>
          <cell r="AC236">
            <v>34544.118298307396</v>
          </cell>
          <cell r="AD236">
            <v>-19330.1016214786</v>
          </cell>
          <cell r="AE236">
            <v>-73472.900014364597</v>
          </cell>
          <cell r="AF236">
            <v>11739.126417978499</v>
          </cell>
          <cell r="AG236">
            <v>11338.769518196801</v>
          </cell>
          <cell r="AH236">
            <v>-12862.488330565498</v>
          </cell>
          <cell r="AI236">
            <v>-34606.277817240603</v>
          </cell>
          <cell r="AJ236">
            <v>17761.004812816704</v>
          </cell>
          <cell r="AK236">
            <v>29842.953161094902</v>
          </cell>
          <cell r="AL236">
            <v>-5358.9477097732706</v>
          </cell>
          <cell r="AP236">
            <v>0</v>
          </cell>
          <cell r="AT236">
            <v>0</v>
          </cell>
          <cell r="AX236">
            <v>0</v>
          </cell>
          <cell r="AZ236">
            <v>-41833.906198713645</v>
          </cell>
          <cell r="BA236">
            <v>29707.995322527786</v>
          </cell>
          <cell r="BB236">
            <v>119406.54025707085</v>
          </cell>
          <cell r="BC236">
            <v>49354.77511508303</v>
          </cell>
          <cell r="BE236">
            <v>8948.6473642042001</v>
          </cell>
          <cell r="BF236">
            <v>-10864.183511293901</v>
          </cell>
          <cell r="BG236">
            <v>-13326.897164882354</v>
          </cell>
          <cell r="BH236">
            <v>48748.153202737769</v>
          </cell>
          <cell r="BI236">
            <v>24005.291833111361</v>
          </cell>
          <cell r="BJ236">
            <v>47449.658054051775</v>
          </cell>
          <cell r="BK236">
            <v>57007.596444354102</v>
          </cell>
          <cell r="BL236">
            <v>38158.159574162608</v>
          </cell>
          <cell r="BM236">
            <v>-74787.84539602921</v>
          </cell>
          <cell r="BN236">
            <v>-6877.479220230096</v>
          </cell>
          <cell r="BO236">
            <v>75725.840977599102</v>
          </cell>
          <cell r="BP236">
            <v>-37551.537661817369</v>
          </cell>
        </row>
      </sheetData>
      <sheetData sheetId="14">
        <row r="1">
          <cell r="C1" t="str">
            <v>A</v>
          </cell>
        </row>
      </sheetData>
      <sheetData sheetId="15" refreshError="1"/>
      <sheetData sheetId="16">
        <row r="1">
          <cell r="BB1" t="str">
            <v>1Q21</v>
          </cell>
        </row>
      </sheetData>
      <sheetData sheetId="17">
        <row r="1">
          <cell r="BB1" t="str">
            <v>1Q21</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ow r="4">
          <cell r="B4">
            <v>43103</v>
          </cell>
          <cell r="C4" t="str">
            <v>Ene_01</v>
          </cell>
        </row>
        <row r="5">
          <cell r="B5">
            <v>43468</v>
          </cell>
          <cell r="C5" t="str">
            <v>Ene_02</v>
          </cell>
        </row>
        <row r="6">
          <cell r="B6">
            <v>43832</v>
          </cell>
          <cell r="C6" t="str">
            <v>Ene_03</v>
          </cell>
        </row>
        <row r="7">
          <cell r="B7">
            <v>44198</v>
          </cell>
          <cell r="C7" t="str">
            <v>Ene_04</v>
          </cell>
        </row>
        <row r="8">
          <cell r="B8">
            <v>43134</v>
          </cell>
          <cell r="C8" t="str">
            <v>Feb_01</v>
          </cell>
        </row>
        <row r="9">
          <cell r="B9">
            <v>43499</v>
          </cell>
          <cell r="C9" t="str">
            <v>Feb_02</v>
          </cell>
        </row>
        <row r="10">
          <cell r="B10">
            <v>43863</v>
          </cell>
          <cell r="C10" t="str">
            <v>Feb_03</v>
          </cell>
        </row>
        <row r="11">
          <cell r="B11">
            <v>44229</v>
          </cell>
          <cell r="C11" t="str">
            <v>Feb_04</v>
          </cell>
        </row>
        <row r="12">
          <cell r="B12">
            <v>43162</v>
          </cell>
          <cell r="C12" t="str">
            <v>Mar_01</v>
          </cell>
        </row>
        <row r="13">
          <cell r="B13">
            <v>43526</v>
          </cell>
          <cell r="C13" t="str">
            <v>Mar_02</v>
          </cell>
        </row>
        <row r="14">
          <cell r="B14">
            <v>43892</v>
          </cell>
          <cell r="C14" t="str">
            <v>Mar_03</v>
          </cell>
        </row>
        <row r="15">
          <cell r="B15">
            <v>44257</v>
          </cell>
          <cell r="C15" t="str">
            <v>Mar_04</v>
          </cell>
        </row>
        <row r="16">
          <cell r="B16">
            <v>43193</v>
          </cell>
          <cell r="C16" t="str">
            <v>Abr_01</v>
          </cell>
        </row>
        <row r="17">
          <cell r="B17">
            <v>43557</v>
          </cell>
          <cell r="C17" t="str">
            <v>Abr_02</v>
          </cell>
        </row>
        <row r="18">
          <cell r="B18">
            <v>43923</v>
          </cell>
          <cell r="C18" t="str">
            <v>Abr_03</v>
          </cell>
        </row>
        <row r="19">
          <cell r="B19">
            <v>44288</v>
          </cell>
          <cell r="C19" t="str">
            <v>Abr_04</v>
          </cell>
        </row>
        <row r="20">
          <cell r="B20">
            <v>43223</v>
          </cell>
          <cell r="C20" t="str">
            <v>May_01</v>
          </cell>
        </row>
        <row r="21">
          <cell r="B21">
            <v>43587</v>
          </cell>
          <cell r="C21" t="str">
            <v>May_02</v>
          </cell>
        </row>
        <row r="22">
          <cell r="B22">
            <v>43953</v>
          </cell>
          <cell r="C22" t="str">
            <v>May_03</v>
          </cell>
        </row>
        <row r="23">
          <cell r="B23">
            <v>44318</v>
          </cell>
          <cell r="C23" t="str">
            <v>May_04</v>
          </cell>
        </row>
        <row r="24">
          <cell r="B24">
            <v>43254</v>
          </cell>
          <cell r="C24" t="str">
            <v>Jun_01</v>
          </cell>
        </row>
        <row r="25">
          <cell r="B25">
            <v>43618</v>
          </cell>
          <cell r="C25" t="str">
            <v>Jun_02</v>
          </cell>
        </row>
        <row r="26">
          <cell r="B26">
            <v>43984</v>
          </cell>
          <cell r="C26" t="str">
            <v>Jun_03</v>
          </cell>
        </row>
        <row r="27">
          <cell r="B27">
            <v>44349</v>
          </cell>
          <cell r="C27" t="str">
            <v>Jun_04</v>
          </cell>
        </row>
        <row r="28">
          <cell r="B28">
            <v>43284</v>
          </cell>
          <cell r="C28" t="str">
            <v>Jul_01</v>
          </cell>
        </row>
        <row r="29">
          <cell r="B29">
            <v>43648</v>
          </cell>
          <cell r="C29" t="str">
            <v>Jul_02</v>
          </cell>
        </row>
        <row r="30">
          <cell r="B30">
            <v>44014</v>
          </cell>
          <cell r="C30" t="str">
            <v>Jul_03</v>
          </cell>
        </row>
        <row r="31">
          <cell r="B31">
            <v>44379</v>
          </cell>
          <cell r="C31" t="str">
            <v>Jul_04</v>
          </cell>
        </row>
        <row r="32">
          <cell r="B32">
            <v>43315</v>
          </cell>
          <cell r="C32" t="str">
            <v>Ago_01</v>
          </cell>
        </row>
        <row r="33">
          <cell r="B33">
            <v>43679</v>
          </cell>
          <cell r="C33" t="str">
            <v>Ago_02</v>
          </cell>
        </row>
        <row r="34">
          <cell r="B34">
            <v>44045</v>
          </cell>
          <cell r="C34" t="str">
            <v>Ago_03</v>
          </cell>
        </row>
        <row r="35">
          <cell r="B35">
            <v>44410</v>
          </cell>
          <cell r="C35" t="str">
            <v>Ago_04</v>
          </cell>
        </row>
        <row r="36">
          <cell r="B36">
            <v>43346</v>
          </cell>
          <cell r="C36" t="str">
            <v>Sep_01</v>
          </cell>
        </row>
        <row r="37">
          <cell r="B37">
            <v>43710</v>
          </cell>
          <cell r="C37" t="str">
            <v>Sep_02</v>
          </cell>
        </row>
        <row r="38">
          <cell r="B38">
            <v>44076</v>
          </cell>
          <cell r="C38" t="str">
            <v>Sep_03</v>
          </cell>
        </row>
        <row r="39">
          <cell r="B39">
            <v>44441</v>
          </cell>
          <cell r="C39" t="str">
            <v>Sep_04</v>
          </cell>
        </row>
        <row r="40">
          <cell r="B40">
            <v>43376</v>
          </cell>
          <cell r="C40" t="str">
            <v>Oct_01</v>
          </cell>
        </row>
        <row r="41">
          <cell r="B41">
            <v>43740</v>
          </cell>
          <cell r="C41" t="str">
            <v>Oct_02</v>
          </cell>
        </row>
        <row r="42">
          <cell r="B42">
            <v>44106</v>
          </cell>
          <cell r="C42" t="str">
            <v>Oct_03</v>
          </cell>
        </row>
        <row r="43">
          <cell r="B43">
            <v>44471</v>
          </cell>
          <cell r="C43" t="str">
            <v>Oct_04</v>
          </cell>
        </row>
        <row r="44">
          <cell r="B44">
            <v>43407</v>
          </cell>
          <cell r="C44" t="str">
            <v>Nov_01</v>
          </cell>
        </row>
        <row r="45">
          <cell r="B45">
            <v>43771</v>
          </cell>
          <cell r="C45" t="str">
            <v>Nov_02</v>
          </cell>
        </row>
        <row r="46">
          <cell r="B46">
            <v>44137</v>
          </cell>
          <cell r="C46" t="str">
            <v>Nov_03</v>
          </cell>
        </row>
        <row r="47">
          <cell r="B47">
            <v>44502</v>
          </cell>
          <cell r="C47" t="str">
            <v>Nov_04</v>
          </cell>
        </row>
        <row r="48">
          <cell r="B48">
            <v>43437</v>
          </cell>
          <cell r="C48" t="str">
            <v>Dic_01</v>
          </cell>
        </row>
        <row r="49">
          <cell r="B49">
            <v>43801</v>
          </cell>
          <cell r="C49" t="str">
            <v>Dic_02</v>
          </cell>
        </row>
        <row r="50">
          <cell r="B50">
            <v>44167</v>
          </cell>
          <cell r="C50" t="str">
            <v>Dic_03</v>
          </cell>
        </row>
        <row r="51">
          <cell r="B51">
            <v>44532</v>
          </cell>
          <cell r="C51" t="str">
            <v>Dic_04</v>
          </cell>
        </row>
        <row r="53">
          <cell r="B53" t="str">
            <v>Acumulado 2018</v>
          </cell>
          <cell r="C53" t="str">
            <v>Acum_01</v>
          </cell>
        </row>
        <row r="54">
          <cell r="B54" t="str">
            <v>Acumulado 2019</v>
          </cell>
          <cell r="C54" t="str">
            <v>Acum_02</v>
          </cell>
        </row>
        <row r="55">
          <cell r="B55" t="str">
            <v>Acumulado 2020</v>
          </cell>
          <cell r="C55" t="str">
            <v>Acum_03</v>
          </cell>
        </row>
        <row r="56">
          <cell r="B56" t="str">
            <v>Acumulado 2021</v>
          </cell>
          <cell r="C56" t="str">
            <v>Acum_04</v>
          </cell>
        </row>
        <row r="58">
          <cell r="B58" t="str">
            <v>I Trimestre 2018</v>
          </cell>
          <cell r="C58" t="str">
            <v>1Q_01</v>
          </cell>
        </row>
        <row r="59">
          <cell r="B59" t="str">
            <v>I Trimestre 2019</v>
          </cell>
          <cell r="C59" t="str">
            <v>1Q_02</v>
          </cell>
        </row>
        <row r="60">
          <cell r="B60" t="str">
            <v>I Trimestre 2020</v>
          </cell>
          <cell r="C60" t="str">
            <v>1Q_03</v>
          </cell>
        </row>
        <row r="61">
          <cell r="B61" t="str">
            <v>I Trimestre 2021</v>
          </cell>
          <cell r="C61" t="str">
            <v>1Q_04</v>
          </cell>
        </row>
        <row r="62">
          <cell r="B62" t="str">
            <v>II Trimestre 2018</v>
          </cell>
          <cell r="C62" t="str">
            <v>2Q_01</v>
          </cell>
        </row>
        <row r="63">
          <cell r="B63" t="str">
            <v>II Trimestre 2019</v>
          </cell>
          <cell r="C63" t="str">
            <v>2Q_02</v>
          </cell>
        </row>
        <row r="64">
          <cell r="B64" t="str">
            <v>II Trimestre 2020</v>
          </cell>
          <cell r="C64" t="str">
            <v>2Q_03</v>
          </cell>
        </row>
        <row r="65">
          <cell r="B65" t="str">
            <v>II Trimestre 2021</v>
          </cell>
          <cell r="C65" t="str">
            <v>2Q_04</v>
          </cell>
        </row>
        <row r="66">
          <cell r="B66" t="str">
            <v>III Trimestre 2018</v>
          </cell>
          <cell r="C66" t="str">
            <v>3Q_01</v>
          </cell>
        </row>
        <row r="67">
          <cell r="B67" t="str">
            <v>III Trimestre 2019</v>
          </cell>
          <cell r="C67" t="str">
            <v>3Q_02</v>
          </cell>
        </row>
        <row r="68">
          <cell r="B68" t="str">
            <v>III Trimestre 2020</v>
          </cell>
          <cell r="C68" t="str">
            <v>3Q_03</v>
          </cell>
        </row>
        <row r="69">
          <cell r="B69" t="str">
            <v>III Trimestre 2021</v>
          </cell>
          <cell r="C69" t="str">
            <v>3Q_04</v>
          </cell>
        </row>
        <row r="70">
          <cell r="B70" t="str">
            <v>IV Trimestre 2018</v>
          </cell>
          <cell r="C70" t="str">
            <v>4Q_01</v>
          </cell>
        </row>
        <row r="71">
          <cell r="B71" t="str">
            <v>IV Trimestre 2019</v>
          </cell>
          <cell r="C71" t="str">
            <v>4Q_02</v>
          </cell>
        </row>
        <row r="72">
          <cell r="B72" t="str">
            <v>IV Trimestre 2020</v>
          </cell>
          <cell r="C72" t="str">
            <v>4Q_03</v>
          </cell>
        </row>
        <row r="73">
          <cell r="B73" t="str">
            <v>IV Trimestre 2021</v>
          </cell>
          <cell r="C73" t="str">
            <v>4Q_04</v>
          </cell>
        </row>
        <row r="75">
          <cell r="B75" t="str">
            <v>I Semestre 2018</v>
          </cell>
          <cell r="C75" t="str">
            <v>1S_01</v>
          </cell>
        </row>
        <row r="76">
          <cell r="B76" t="str">
            <v>I Semestre 2019</v>
          </cell>
          <cell r="C76" t="str">
            <v>1S_02</v>
          </cell>
        </row>
        <row r="77">
          <cell r="B77" t="str">
            <v>I Semestre 2020</v>
          </cell>
          <cell r="C77" t="str">
            <v>1S_03</v>
          </cell>
        </row>
        <row r="78">
          <cell r="B78" t="str">
            <v>I Semestre 2021</v>
          </cell>
          <cell r="C78" t="str">
            <v>1S_04</v>
          </cell>
        </row>
        <row r="79">
          <cell r="B79" t="str">
            <v>II Semestre 2018</v>
          </cell>
          <cell r="C79" t="str">
            <v>2S_01</v>
          </cell>
        </row>
        <row r="80">
          <cell r="B80" t="str">
            <v>II Semestre 2019</v>
          </cell>
          <cell r="C80" t="str">
            <v>2S_02</v>
          </cell>
        </row>
        <row r="81">
          <cell r="B81" t="str">
            <v>II Semestre 2020</v>
          </cell>
          <cell r="C81" t="str">
            <v>2S_03</v>
          </cell>
        </row>
        <row r="82">
          <cell r="B82" t="str">
            <v>II Semestre 2021</v>
          </cell>
          <cell r="C82" t="str">
            <v>2S_04</v>
          </cell>
        </row>
      </sheetData>
      <sheetData sheetId="41" refreshError="1"/>
      <sheetData sheetId="42">
        <row r="3">
          <cell r="C3" t="str">
            <v>I Trimestre 2010</v>
          </cell>
          <cell r="D3">
            <v>338790909</v>
          </cell>
        </row>
        <row r="4">
          <cell r="C4" t="str">
            <v>II Trimestre 2010</v>
          </cell>
          <cell r="D4">
            <v>338790909</v>
          </cell>
        </row>
        <row r="5">
          <cell r="C5" t="str">
            <v>III Trimestre 2010</v>
          </cell>
          <cell r="D5">
            <v>338790909</v>
          </cell>
        </row>
        <row r="6">
          <cell r="C6" t="str">
            <v>IV Trimestre 2010</v>
          </cell>
          <cell r="D6">
            <v>338790909</v>
          </cell>
        </row>
        <row r="7">
          <cell r="C7" t="str">
            <v>I Trimestre 2011</v>
          </cell>
          <cell r="D7">
            <v>339310509</v>
          </cell>
        </row>
        <row r="8">
          <cell r="C8" t="str">
            <v>II Trimestre 2011</v>
          </cell>
          <cell r="D8">
            <v>339334209</v>
          </cell>
        </row>
        <row r="9">
          <cell r="C9" t="str">
            <v>III Trimestre 2011</v>
          </cell>
          <cell r="D9">
            <v>339358209</v>
          </cell>
        </row>
        <row r="10">
          <cell r="C10" t="str">
            <v>IV Trimestre 2011</v>
          </cell>
          <cell r="D10">
            <v>340326431</v>
          </cell>
        </row>
        <row r="11">
          <cell r="C11" t="str">
            <v>I Trimestre 2012</v>
          </cell>
          <cell r="D11">
            <v>340999099</v>
          </cell>
        </row>
        <row r="12">
          <cell r="C12" t="str">
            <v>II Trimestre 2012</v>
          </cell>
          <cell r="D12">
            <v>476118975</v>
          </cell>
        </row>
        <row r="13">
          <cell r="C13" t="str">
            <v>III Trimestre 2012</v>
          </cell>
          <cell r="D13">
            <v>476118975</v>
          </cell>
        </row>
        <row r="14">
          <cell r="C14" t="str">
            <v>IV Trimestre 2012</v>
          </cell>
          <cell r="D14">
            <v>479098052</v>
          </cell>
        </row>
        <row r="15">
          <cell r="C15" t="str">
            <v>I Trimestre 2013</v>
          </cell>
          <cell r="D15">
            <v>483555791</v>
          </cell>
        </row>
        <row r="16">
          <cell r="C16" t="str">
            <v>II Trimestre 2013</v>
          </cell>
          <cell r="D16">
            <v>483547819</v>
          </cell>
        </row>
        <row r="17">
          <cell r="C17" t="str">
            <v>III Trimestre 2013</v>
          </cell>
          <cell r="D17">
            <v>483547819</v>
          </cell>
        </row>
        <row r="18">
          <cell r="C18" t="str">
            <v>IV Trimestre 2013</v>
          </cell>
          <cell r="D18">
            <v>535243229</v>
          </cell>
        </row>
        <row r="19">
          <cell r="C19" t="str">
            <v>I Trimestre 2014</v>
          </cell>
          <cell r="D19">
            <v>545547819</v>
          </cell>
        </row>
        <row r="20">
          <cell r="C20" t="str">
            <v>II Trimestre 2014</v>
          </cell>
          <cell r="D20">
            <v>545547819</v>
          </cell>
        </row>
        <row r="21">
          <cell r="C21" t="str">
            <v>III Trimestre 2014</v>
          </cell>
          <cell r="D21">
            <v>545547819</v>
          </cell>
        </row>
        <row r="22">
          <cell r="C22" t="str">
            <v>IV Trimestre 2014</v>
          </cell>
          <cell r="D22">
            <v>545547819</v>
          </cell>
        </row>
        <row r="23">
          <cell r="C23" t="str">
            <v>I Trimestre 2015</v>
          </cell>
          <cell r="D23">
            <v>545547819</v>
          </cell>
        </row>
        <row r="24">
          <cell r="C24" t="str">
            <v>II Trimestre 2015</v>
          </cell>
          <cell r="D24">
            <v>545547819</v>
          </cell>
        </row>
        <row r="25">
          <cell r="C25" t="str">
            <v>III Trimestre 2015</v>
          </cell>
          <cell r="D25">
            <v>545547819</v>
          </cell>
        </row>
        <row r="26">
          <cell r="C26" t="str">
            <v>IV Trimestre 2015</v>
          </cell>
          <cell r="D26">
            <v>545547819</v>
          </cell>
        </row>
        <row r="27">
          <cell r="C27" t="str">
            <v>I Trimestre 2016</v>
          </cell>
          <cell r="D27">
            <v>545547819</v>
          </cell>
        </row>
        <row r="28">
          <cell r="C28" t="str">
            <v>II Trimestre 2016</v>
          </cell>
          <cell r="D28">
            <v>545547819</v>
          </cell>
        </row>
        <row r="29">
          <cell r="C29" t="str">
            <v>III Trimestre 2016</v>
          </cell>
          <cell r="D29">
            <v>545558101</v>
          </cell>
        </row>
        <row r="30">
          <cell r="C30" t="str">
            <v>IV Trimestre 2016</v>
          </cell>
          <cell r="D30">
            <v>606407693</v>
          </cell>
        </row>
        <row r="31">
          <cell r="C31" t="str">
            <v>I Trimestre 2017</v>
          </cell>
          <cell r="D31">
            <v>606407693</v>
          </cell>
        </row>
        <row r="32">
          <cell r="C32" t="str">
            <v>II Trimestre 2017</v>
          </cell>
          <cell r="D32">
            <v>606407693</v>
          </cell>
        </row>
        <row r="33">
          <cell r="C33" t="str">
            <v>III Trimestre 2017</v>
          </cell>
          <cell r="D33">
            <v>606407693</v>
          </cell>
        </row>
        <row r="34">
          <cell r="C34" t="str">
            <v>IV Trimestre 2017</v>
          </cell>
          <cell r="D34">
            <v>606407693</v>
          </cell>
        </row>
        <row r="35">
          <cell r="C35" t="str">
            <v>I Trimestre 2018</v>
          </cell>
          <cell r="D35">
            <v>606407693</v>
          </cell>
        </row>
        <row r="36">
          <cell r="C36" t="str">
            <v>II Trimestre 2018</v>
          </cell>
          <cell r="D36">
            <v>606407693</v>
          </cell>
        </row>
        <row r="37">
          <cell r="C37" t="str">
            <v>III Trimestre 2018</v>
          </cell>
          <cell r="D37">
            <v>606407693</v>
          </cell>
        </row>
        <row r="38">
          <cell r="C38" t="str">
            <v>IV Trimestre 2018</v>
          </cell>
          <cell r="D38">
            <v>606407693</v>
          </cell>
        </row>
        <row r="39">
          <cell r="C39" t="str">
            <v>I Trimestre 2019</v>
          </cell>
          <cell r="D39">
            <v>606407693</v>
          </cell>
        </row>
        <row r="40">
          <cell r="C40" t="str">
            <v>II Trimestre 2019</v>
          </cell>
          <cell r="D40">
            <v>606407693</v>
          </cell>
        </row>
        <row r="41">
          <cell r="C41" t="str">
            <v>III Trimestre 2019</v>
          </cell>
          <cell r="D41">
            <v>606407693</v>
          </cell>
        </row>
        <row r="42">
          <cell r="C42" t="str">
            <v>IV Trimestre 2019</v>
          </cell>
          <cell r="D42">
            <v>606407693</v>
          </cell>
        </row>
        <row r="43">
          <cell r="C43" t="str">
            <v>I Trimestre 2020</v>
          </cell>
          <cell r="D43">
            <v>606407693</v>
          </cell>
        </row>
        <row r="44">
          <cell r="C44" t="str">
            <v>II Trimestre 2020</v>
          </cell>
          <cell r="D44">
            <v>606407693</v>
          </cell>
        </row>
        <row r="45">
          <cell r="C45" t="str">
            <v>III Trimestre 2020</v>
          </cell>
          <cell r="D45">
            <v>606407693</v>
          </cell>
        </row>
        <row r="46">
          <cell r="C46" t="str">
            <v>IV Trimestre 2020</v>
          </cell>
          <cell r="D46">
            <v>606407693</v>
          </cell>
        </row>
        <row r="47">
          <cell r="C47" t="str">
            <v>I Trimestre 2021</v>
          </cell>
          <cell r="D47">
            <v>606407693</v>
          </cell>
        </row>
        <row r="48">
          <cell r="C48" t="str">
            <v>II Trimestre 2021</v>
          </cell>
          <cell r="D48">
            <v>606407693</v>
          </cell>
        </row>
        <row r="49">
          <cell r="C49" t="str">
            <v>III Trimestre 2021</v>
          </cell>
          <cell r="D49">
            <v>606407693</v>
          </cell>
        </row>
        <row r="50">
          <cell r="C50" t="str">
            <v>IV Trimestre 2021</v>
          </cell>
          <cell r="D50">
            <v>606407693</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2006"/>
      <sheetName val="Base 2008"/>
      <sheetName val="Base 2009"/>
      <sheetName val="Base 2010"/>
      <sheetName val="Base 2011"/>
      <sheetName val="Base 2012"/>
      <sheetName val="Base 2013"/>
      <sheetName val="Base 2014"/>
      <sheetName val="Base 2015"/>
      <sheetName val="Base 2016"/>
      <sheetName val="Valores 2010"/>
      <sheetName val="Valores 2011"/>
      <sheetName val="Valores 2012"/>
      <sheetName val="Valores 2013"/>
      <sheetName val="Valores 2014"/>
      <sheetName val="Valores 2015"/>
      <sheetName val="Estad Holding 2011"/>
      <sheetName val="Estad Holding 2012"/>
      <sheetName val="Estad Holding 2013"/>
      <sheetName val="Estad Holding"/>
      <sheetName val="Estad Holding 2014"/>
      <sheetName val="Estad Holding 2015"/>
      <sheetName val="Consolidated Income Statement"/>
      <sheetName val="Consolidated Real &amp; Forecast"/>
      <sheetName val="Oper Inc RE&amp;FO"/>
      <sheetName val="Directorio Real &amp; Forecast"/>
      <sheetName val="Comparativo US$"/>
      <sheetName val="Estadisticas"/>
      <sheetName val="Comparativo US$ Q &amp; Ytd"/>
      <sheetName val="Tipos de Cambio"/>
      <sheetName val="Comparativo Indices"/>
      <sheetName val="Shares Outstand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row r="4">
          <cell r="C4" t="str">
            <v>Ene_01</v>
          </cell>
          <cell r="D4" t="str">
            <v>Ene_02</v>
          </cell>
          <cell r="E4" t="str">
            <v>Ene_03</v>
          </cell>
          <cell r="F4" t="str">
            <v>Ene_04</v>
          </cell>
          <cell r="G4" t="str">
            <v>Feb_01</v>
          </cell>
          <cell r="H4" t="str">
            <v>Feb_02</v>
          </cell>
          <cell r="I4" t="str">
            <v>Feb_03</v>
          </cell>
          <cell r="J4" t="str">
            <v>Feb_04</v>
          </cell>
          <cell r="K4" t="str">
            <v>Mar_01</v>
          </cell>
          <cell r="L4" t="str">
            <v>Mar_02</v>
          </cell>
          <cell r="M4" t="str">
            <v>Mar_03</v>
          </cell>
          <cell r="N4" t="str">
            <v>Mar_04</v>
          </cell>
          <cell r="O4" t="str">
            <v>Abr_01</v>
          </cell>
          <cell r="P4" t="str">
            <v>Abr_02</v>
          </cell>
          <cell r="Q4" t="str">
            <v>Abr_03</v>
          </cell>
          <cell r="R4" t="str">
            <v>Abr_04</v>
          </cell>
          <cell r="S4" t="str">
            <v>May_01</v>
          </cell>
          <cell r="T4" t="str">
            <v>May_02</v>
          </cell>
          <cell r="U4" t="str">
            <v>May_03</v>
          </cell>
          <cell r="V4" t="str">
            <v>May_04</v>
          </cell>
          <cell r="W4" t="str">
            <v>Jun_01</v>
          </cell>
          <cell r="X4" t="str">
            <v>Jun_02</v>
          </cell>
          <cell r="Y4" t="str">
            <v>Jun_03</v>
          </cell>
          <cell r="Z4" t="str">
            <v>Jun_04</v>
          </cell>
          <cell r="AA4" t="str">
            <v>Jul_01</v>
          </cell>
          <cell r="AB4" t="str">
            <v>Jul_02</v>
          </cell>
          <cell r="AC4" t="str">
            <v>Jul_03</v>
          </cell>
          <cell r="AD4" t="str">
            <v>Jul_04</v>
          </cell>
          <cell r="AE4" t="str">
            <v>Jul_01</v>
          </cell>
          <cell r="AF4" t="str">
            <v>Ago_02</v>
          </cell>
          <cell r="AG4" t="str">
            <v>Ago_03</v>
          </cell>
          <cell r="AH4" t="str">
            <v>Ago_04</v>
          </cell>
          <cell r="AI4" t="str">
            <v>Sep_01</v>
          </cell>
          <cell r="AJ4" t="str">
            <v>Sep_02</v>
          </cell>
          <cell r="AK4" t="str">
            <v>Sep_03</v>
          </cell>
          <cell r="AL4" t="str">
            <v>Sep_04</v>
          </cell>
          <cell r="AM4" t="str">
            <v>Oct_01</v>
          </cell>
          <cell r="AN4" t="str">
            <v>Oct_02</v>
          </cell>
          <cell r="AO4" t="str">
            <v>Oct_03</v>
          </cell>
          <cell r="AP4" t="str">
            <v>Oct_04</v>
          </cell>
          <cell r="AQ4" t="str">
            <v>Nov_01</v>
          </cell>
          <cell r="AR4" t="str">
            <v>Nov_02</v>
          </cell>
          <cell r="AS4" t="str">
            <v>Nov_03</v>
          </cell>
          <cell r="AT4" t="str">
            <v>Nov_04</v>
          </cell>
          <cell r="AU4" t="str">
            <v>Dic_01</v>
          </cell>
          <cell r="AV4" t="str">
            <v>Dic_02</v>
          </cell>
          <cell r="AW4" t="str">
            <v>Dic_03</v>
          </cell>
          <cell r="AX4" t="str">
            <v>Dic_04</v>
          </cell>
          <cell r="AZ4" t="str">
            <v>Acum_01</v>
          </cell>
          <cell r="BA4" t="str">
            <v>Acum_02</v>
          </cell>
          <cell r="BB4" t="str">
            <v>Acum_03</v>
          </cell>
          <cell r="BC4" t="str">
            <v>Acum_04</v>
          </cell>
          <cell r="BE4" t="str">
            <v>1Q_01</v>
          </cell>
          <cell r="BF4" t="str">
            <v>1Q_02</v>
          </cell>
          <cell r="BG4" t="str">
            <v>1Q_03</v>
          </cell>
          <cell r="BH4" t="str">
            <v>1Q_04</v>
          </cell>
          <cell r="BI4" t="str">
            <v>2Q_01</v>
          </cell>
          <cell r="BJ4" t="str">
            <v>2Q_02</v>
          </cell>
          <cell r="BK4" t="str">
            <v>2Q_03</v>
          </cell>
          <cell r="BL4" t="str">
            <v>2Q_04</v>
          </cell>
          <cell r="BM4" t="str">
            <v>3Q_01</v>
          </cell>
          <cell r="BN4" t="str">
            <v>3Q_02</v>
          </cell>
          <cell r="BO4" t="str">
            <v>3Q_03</v>
          </cell>
          <cell r="BP4" t="str">
            <v>3Q_04</v>
          </cell>
          <cell r="BQ4" t="str">
            <v>4Q_01</v>
          </cell>
          <cell r="BR4" t="str">
            <v>4Q_02</v>
          </cell>
          <cell r="BS4" t="str">
            <v>4Q_03</v>
          </cell>
          <cell r="BT4" t="str">
            <v>4Q_04</v>
          </cell>
        </row>
        <row r="5">
          <cell r="C5">
            <v>1232018.833820001</v>
          </cell>
          <cell r="D5">
            <v>1174087.77483</v>
          </cell>
          <cell r="E5">
            <v>1094007.6137888851</v>
          </cell>
          <cell r="F5">
            <v>851209.2896413944</v>
          </cell>
          <cell r="G5">
            <v>1041451.8685799979</v>
          </cell>
          <cell r="H5">
            <v>961482.83848000027</v>
          </cell>
          <cell r="I5">
            <v>884645.38304407382</v>
          </cell>
          <cell r="J5">
            <v>721094.54111599573</v>
          </cell>
          <cell r="K5">
            <v>1135497.92111</v>
          </cell>
          <cell r="L5">
            <v>1041863.86253</v>
          </cell>
          <cell r="M5">
            <v>812488.70939936454</v>
          </cell>
          <cell r="N5">
            <v>755312.37401023903</v>
          </cell>
          <cell r="O5">
            <v>1069456.84106</v>
          </cell>
          <cell r="P5">
            <v>1030354.4852299981</v>
          </cell>
          <cell r="Q5">
            <v>814482.21746670955</v>
          </cell>
          <cell r="R5">
            <v>691885.15300305455</v>
          </cell>
          <cell r="S5">
            <v>1006061.8364500019</v>
          </cell>
          <cell r="T5">
            <v>1018206.0866100012</v>
          </cell>
          <cell r="U5">
            <v>848302.70738761243</v>
          </cell>
          <cell r="V5">
            <v>712250.78393704875</v>
          </cell>
          <cell r="W5">
            <v>1023392.2109399991</v>
          </cell>
          <cell r="X5">
            <v>999168.0955500016</v>
          </cell>
          <cell r="Y5">
            <v>750068.77709689143</v>
          </cell>
          <cell r="Z5">
            <v>706497.94731991272</v>
          </cell>
          <cell r="AD5">
            <v>0</v>
          </cell>
          <cell r="AH5">
            <v>0</v>
          </cell>
          <cell r="AL5">
            <v>0</v>
          </cell>
          <cell r="AP5">
            <v>0</v>
          </cell>
          <cell r="AT5">
            <v>0</v>
          </cell>
          <cell r="AX5">
            <v>0</v>
          </cell>
          <cell r="AZ5">
            <v>6507878.5119600007</v>
          </cell>
          <cell r="BA5">
            <v>6225163.1432300014</v>
          </cell>
          <cell r="BB5">
            <v>5203995.4081835365</v>
          </cell>
          <cell r="BC5">
            <v>4438250.0890276451</v>
          </cell>
          <cell r="BE5">
            <v>3408966.6235099989</v>
          </cell>
          <cell r="BF5">
            <v>3177435.4758400004</v>
          </cell>
          <cell r="BG5">
            <v>2791141.7062323233</v>
          </cell>
          <cell r="BH5">
            <v>2327616.204767629</v>
          </cell>
          <cell r="BI5">
            <v>3098910.8884500014</v>
          </cell>
          <cell r="BJ5">
            <v>3047728.6673900005</v>
          </cell>
          <cell r="BK5">
            <v>2412853.7019512132</v>
          </cell>
          <cell r="BL5">
            <v>2110633.884260016</v>
          </cell>
          <cell r="BM5">
            <v>0</v>
          </cell>
          <cell r="BN5">
            <v>0</v>
          </cell>
          <cell r="BO5">
            <v>0</v>
          </cell>
          <cell r="BP5">
            <v>0</v>
          </cell>
          <cell r="BQ5">
            <v>0</v>
          </cell>
          <cell r="BR5">
            <v>0</v>
          </cell>
          <cell r="BS5">
            <v>0</v>
          </cell>
          <cell r="BT5">
            <v>0</v>
          </cell>
        </row>
        <row r="6">
          <cell r="C6">
            <v>1066433.309880001</v>
          </cell>
          <cell r="D6">
            <v>1006897.2886</v>
          </cell>
          <cell r="E6">
            <v>930973.29600672261</v>
          </cell>
          <cell r="F6">
            <v>742673.08277056785</v>
          </cell>
          <cell r="G6">
            <v>872887.49092999799</v>
          </cell>
          <cell r="H6">
            <v>821120.55023000017</v>
          </cell>
          <cell r="I6">
            <v>743115.85823539167</v>
          </cell>
          <cell r="J6">
            <v>608549.4180757727</v>
          </cell>
          <cell r="K6">
            <v>932057.03859000001</v>
          </cell>
          <cell r="L6">
            <v>860592.85531000013</v>
          </cell>
          <cell r="M6">
            <v>669437.36089357641</v>
          </cell>
          <cell r="N6">
            <v>607067.31355386402</v>
          </cell>
          <cell r="O6">
            <v>859173.80939000007</v>
          </cell>
          <cell r="P6">
            <v>853350.78245999804</v>
          </cell>
          <cell r="Q6">
            <v>667165.3691006935</v>
          </cell>
          <cell r="R6">
            <v>561026.53757033404</v>
          </cell>
          <cell r="S6">
            <v>817889.73576000205</v>
          </cell>
          <cell r="T6">
            <v>838621.88209000102</v>
          </cell>
          <cell r="U6">
            <v>670108.31523983367</v>
          </cell>
          <cell r="V6">
            <v>581427.89011986309</v>
          </cell>
          <cell r="W6">
            <v>843065.35740999901</v>
          </cell>
          <cell r="X6">
            <v>835987.79680000199</v>
          </cell>
          <cell r="Y6">
            <v>639887.62733301811</v>
          </cell>
          <cell r="Z6">
            <v>564260.05595021509</v>
          </cell>
          <cell r="AD6">
            <v>0</v>
          </cell>
          <cell r="AH6">
            <v>0</v>
          </cell>
          <cell r="AL6">
            <v>0</v>
          </cell>
          <cell r="AP6">
            <v>0</v>
          </cell>
          <cell r="AT6">
            <v>0</v>
          </cell>
          <cell r="AX6">
            <v>0</v>
          </cell>
          <cell r="AZ6">
            <v>5391506.7419600002</v>
          </cell>
          <cell r="BA6">
            <v>5216571.1554900017</v>
          </cell>
          <cell r="BB6">
            <v>4320687.8268092358</v>
          </cell>
          <cell r="BC6">
            <v>3665004.2980406168</v>
          </cell>
          <cell r="BE6">
            <v>2871377.839399999</v>
          </cell>
          <cell r="BF6">
            <v>2688610.6941400003</v>
          </cell>
          <cell r="BG6">
            <v>2343526.5151356906</v>
          </cell>
          <cell r="BH6">
            <v>1958289.8144002045</v>
          </cell>
          <cell r="BI6">
            <v>2520128.9025600012</v>
          </cell>
          <cell r="BJ6">
            <v>2527960.4613500009</v>
          </cell>
          <cell r="BK6">
            <v>1977161.3116735453</v>
          </cell>
          <cell r="BL6">
            <v>1706714.4836404123</v>
          </cell>
          <cell r="BM6">
            <v>0</v>
          </cell>
          <cell r="BN6">
            <v>0</v>
          </cell>
          <cell r="BO6">
            <v>0</v>
          </cell>
          <cell r="BP6">
            <v>0</v>
          </cell>
          <cell r="BQ6">
            <v>0</v>
          </cell>
          <cell r="BR6">
            <v>0</v>
          </cell>
          <cell r="BS6">
            <v>0</v>
          </cell>
          <cell r="BT6">
            <v>0</v>
          </cell>
        </row>
        <row r="7">
          <cell r="C7">
            <v>1058988.545200001</v>
          </cell>
          <cell r="D7">
            <v>1001669.30929</v>
          </cell>
          <cell r="E7">
            <v>923564.43904661795</v>
          </cell>
          <cell r="F7">
            <v>737847.81621244643</v>
          </cell>
          <cell r="G7">
            <v>866250.58083999797</v>
          </cell>
          <cell r="H7">
            <v>820201.69813000015</v>
          </cell>
          <cell r="I7">
            <v>737835.33457455109</v>
          </cell>
          <cell r="J7">
            <v>604793.35890036356</v>
          </cell>
          <cell r="K7">
            <v>926260.46201000002</v>
          </cell>
          <cell r="L7">
            <v>856119.2109500001</v>
          </cell>
          <cell r="M7">
            <v>664261.37755969889</v>
          </cell>
          <cell r="N7">
            <v>601934.74773963902</v>
          </cell>
          <cell r="O7">
            <v>853256.65887000004</v>
          </cell>
          <cell r="P7">
            <v>847180.981329998</v>
          </cell>
          <cell r="Q7">
            <v>662293.15311233082</v>
          </cell>
          <cell r="R7">
            <v>556261.10442770401</v>
          </cell>
          <cell r="S7">
            <v>810998.96909000201</v>
          </cell>
          <cell r="T7">
            <v>832082.92372000101</v>
          </cell>
          <cell r="U7">
            <v>665304.77959145245</v>
          </cell>
          <cell r="V7">
            <v>576016.59085532301</v>
          </cell>
          <cell r="W7">
            <v>837640.086279999</v>
          </cell>
          <cell r="X7">
            <v>829860.11757000198</v>
          </cell>
          <cell r="Y7">
            <v>634620.97302084381</v>
          </cell>
          <cell r="Z7">
            <v>558824.23136075609</v>
          </cell>
          <cell r="AD7">
            <v>0</v>
          </cell>
          <cell r="AH7">
            <v>0</v>
          </cell>
          <cell r="AL7">
            <v>0</v>
          </cell>
          <cell r="AP7">
            <v>0</v>
          </cell>
          <cell r="AT7">
            <v>0</v>
          </cell>
          <cell r="AX7">
            <v>0</v>
          </cell>
          <cell r="AZ7">
            <v>5353395.30229</v>
          </cell>
          <cell r="BA7">
            <v>5187114.2409900008</v>
          </cell>
          <cell r="BB7">
            <v>4287880.056905495</v>
          </cell>
          <cell r="BC7">
            <v>3635677.8494962323</v>
          </cell>
          <cell r="BE7">
            <v>2851499.588049999</v>
          </cell>
          <cell r="BF7">
            <v>2677990.2183700004</v>
          </cell>
          <cell r="BG7">
            <v>2325661.151180868</v>
          </cell>
          <cell r="BH7">
            <v>1944575.9228524491</v>
          </cell>
          <cell r="BI7">
            <v>2501895.714240001</v>
          </cell>
          <cell r="BJ7">
            <v>2509124.0226200009</v>
          </cell>
          <cell r="BK7">
            <v>1962218.905724627</v>
          </cell>
          <cell r="BL7">
            <v>1691101.926643783</v>
          </cell>
          <cell r="BM7">
            <v>0</v>
          </cell>
          <cell r="BN7">
            <v>0</v>
          </cell>
          <cell r="BO7">
            <v>0</v>
          </cell>
          <cell r="BP7">
            <v>0</v>
          </cell>
          <cell r="BQ7">
            <v>0</v>
          </cell>
          <cell r="BR7">
            <v>0</v>
          </cell>
          <cell r="BS7">
            <v>0</v>
          </cell>
          <cell r="BT7">
            <v>0</v>
          </cell>
        </row>
        <row r="8">
          <cell r="C8">
            <v>7444.7646799999993</v>
          </cell>
          <cell r="D8">
            <v>5227.9793100000006</v>
          </cell>
          <cell r="E8">
            <v>7408.8569601046102</v>
          </cell>
          <cell r="F8">
            <v>4825.2665581214778</v>
          </cell>
          <cell r="G8">
            <v>6636.9100899999994</v>
          </cell>
          <cell r="H8">
            <v>918.85210000000006</v>
          </cell>
          <cell r="I8">
            <v>5280.5236608405803</v>
          </cell>
          <cell r="J8">
            <v>3756.0591754091124</v>
          </cell>
          <cell r="K8">
            <v>5796.5765799999999</v>
          </cell>
          <cell r="L8">
            <v>4473.6443599999993</v>
          </cell>
          <cell r="M8">
            <v>5175.9833338775106</v>
          </cell>
          <cell r="N8">
            <v>5132.5658142250304</v>
          </cell>
          <cell r="O8">
            <v>5917.1505199999992</v>
          </cell>
          <cell r="P8">
            <v>6169.8011299999998</v>
          </cell>
          <cell r="Q8">
            <v>4872.2159883627</v>
          </cell>
          <cell r="R8">
            <v>4765.4331426300096</v>
          </cell>
          <cell r="S8">
            <v>6890.76667</v>
          </cell>
          <cell r="T8">
            <v>6538.9583699999994</v>
          </cell>
          <cell r="U8">
            <v>4803.5356483811702</v>
          </cell>
          <cell r="V8">
            <v>5411.29926454003</v>
          </cell>
          <cell r="W8">
            <v>5425.2711300000101</v>
          </cell>
          <cell r="X8">
            <v>6127.6792300000006</v>
          </cell>
          <cell r="Y8">
            <v>5266.6543121742998</v>
          </cell>
          <cell r="Z8">
            <v>5435.82458945895</v>
          </cell>
          <cell r="AD8">
            <v>0</v>
          </cell>
          <cell r="AH8">
            <v>0</v>
          </cell>
          <cell r="AL8">
            <v>0</v>
          </cell>
          <cell r="AP8">
            <v>0</v>
          </cell>
          <cell r="AT8">
            <v>0</v>
          </cell>
          <cell r="AX8">
            <v>0</v>
          </cell>
          <cell r="AZ8">
            <v>38111.439670000007</v>
          </cell>
          <cell r="BA8">
            <v>29456.914500000003</v>
          </cell>
          <cell r="BB8">
            <v>32807.769903740867</v>
          </cell>
          <cell r="BC8">
            <v>29326.44854438461</v>
          </cell>
          <cell r="BE8">
            <v>19878.251349999999</v>
          </cell>
          <cell r="BF8">
            <v>10620.475770000001</v>
          </cell>
          <cell r="BG8">
            <v>17865.3639548227</v>
          </cell>
          <cell r="BH8">
            <v>13713.89154775562</v>
          </cell>
          <cell r="BI8">
            <v>18233.188320000008</v>
          </cell>
          <cell r="BJ8">
            <v>18836.438730000002</v>
          </cell>
          <cell r="BK8">
            <v>14942.405948918169</v>
          </cell>
          <cell r="BL8">
            <v>15612.556996628988</v>
          </cell>
          <cell r="BM8">
            <v>0</v>
          </cell>
          <cell r="BN8">
            <v>0</v>
          </cell>
          <cell r="BO8">
            <v>0</v>
          </cell>
          <cell r="BP8">
            <v>0</v>
          </cell>
          <cell r="BQ8">
            <v>0</v>
          </cell>
          <cell r="BR8">
            <v>0</v>
          </cell>
          <cell r="BS8">
            <v>0</v>
          </cell>
          <cell r="BT8">
            <v>0</v>
          </cell>
        </row>
        <row r="9">
          <cell r="C9">
            <v>143881.10469000001</v>
          </cell>
          <cell r="D9">
            <v>136964.14228999999</v>
          </cell>
          <cell r="E9">
            <v>118642.356828487</v>
          </cell>
          <cell r="F9">
            <v>92413.887537739007</v>
          </cell>
          <cell r="G9">
            <v>142221.65138</v>
          </cell>
          <cell r="H9">
            <v>128566.33580000002</v>
          </cell>
          <cell r="I9">
            <v>110407.46034026401</v>
          </cell>
          <cell r="J9">
            <v>87973.799960322256</v>
          </cell>
          <cell r="K9">
            <v>174291.09237</v>
          </cell>
          <cell r="L9">
            <v>155178.83846999999</v>
          </cell>
          <cell r="M9">
            <v>121272.48143149</v>
          </cell>
          <cell r="N9">
            <v>95578.944447737507</v>
          </cell>
          <cell r="O9">
            <v>185674.32949</v>
          </cell>
          <cell r="P9">
            <v>165840.10041999997</v>
          </cell>
          <cell r="Q9">
            <v>118459.580739037</v>
          </cell>
          <cell r="R9">
            <v>91470.876578001902</v>
          </cell>
          <cell r="S9">
            <v>157818.69459999999</v>
          </cell>
          <cell r="T9">
            <v>147844.25383999999</v>
          </cell>
          <cell r="U9">
            <v>111090.17316962</v>
          </cell>
          <cell r="V9">
            <v>84704.765588041686</v>
          </cell>
          <cell r="W9">
            <v>143034.39053999999</v>
          </cell>
          <cell r="X9">
            <v>111249.94788999991</v>
          </cell>
          <cell r="Y9">
            <v>104894.963716806</v>
          </cell>
          <cell r="Z9">
            <v>83834.82889304639</v>
          </cell>
          <cell r="AD9">
            <v>0</v>
          </cell>
          <cell r="AH9">
            <v>0</v>
          </cell>
          <cell r="AL9">
            <v>0</v>
          </cell>
          <cell r="AP9">
            <v>0</v>
          </cell>
          <cell r="AT9">
            <v>0</v>
          </cell>
          <cell r="AX9">
            <v>0</v>
          </cell>
          <cell r="AZ9">
            <v>946921.2630700001</v>
          </cell>
          <cell r="BA9">
            <v>845643.61870999995</v>
          </cell>
          <cell r="BB9">
            <v>684767.01622570411</v>
          </cell>
          <cell r="BC9">
            <v>535977.10300488875</v>
          </cell>
          <cell r="BE9">
            <v>460393.84843999997</v>
          </cell>
          <cell r="BF9">
            <v>420709.31655999995</v>
          </cell>
          <cell r="BG9">
            <v>350322.29860024102</v>
          </cell>
          <cell r="BH9">
            <v>275966.63194579876</v>
          </cell>
          <cell r="BI9">
            <v>486527.41462999996</v>
          </cell>
          <cell r="BJ9">
            <v>424934.30214999983</v>
          </cell>
          <cell r="BK9">
            <v>334444.71762546303</v>
          </cell>
          <cell r="BL9">
            <v>260010.47105908996</v>
          </cell>
          <cell r="BM9">
            <v>0</v>
          </cell>
          <cell r="BN9">
            <v>0</v>
          </cell>
          <cell r="BO9">
            <v>0</v>
          </cell>
          <cell r="BP9">
            <v>0</v>
          </cell>
          <cell r="BQ9">
            <v>0</v>
          </cell>
          <cell r="BR9">
            <v>0</v>
          </cell>
          <cell r="BS9">
            <v>0</v>
          </cell>
          <cell r="BT9">
            <v>0</v>
          </cell>
        </row>
        <row r="10">
          <cell r="C10">
            <v>21704.419250000014</v>
          </cell>
          <cell r="D10">
            <v>30226.343939999995</v>
          </cell>
          <cell r="E10">
            <v>44391.960953675516</v>
          </cell>
          <cell r="F10">
            <v>16122.31933308754</v>
          </cell>
          <cell r="G10">
            <v>26342.726270000021</v>
          </cell>
          <cell r="H10">
            <v>11795.952450000057</v>
          </cell>
          <cell r="I10">
            <v>31122.064468418088</v>
          </cell>
          <cell r="J10">
            <v>24571.323079900794</v>
          </cell>
          <cell r="K10">
            <v>29148.790149999993</v>
          </cell>
          <cell r="L10">
            <v>26092.168749999939</v>
          </cell>
          <cell r="M10">
            <v>21778.867074298058</v>
          </cell>
          <cell r="N10">
            <v>52666.116008637422</v>
          </cell>
          <cell r="O10">
            <v>24608.702179999938</v>
          </cell>
          <cell r="P10">
            <v>11163.602350000023</v>
          </cell>
          <cell r="Q10">
            <v>28857.267626978992</v>
          </cell>
          <cell r="R10">
            <v>39387.738854718613</v>
          </cell>
          <cell r="S10">
            <v>30353.406089999902</v>
          </cell>
          <cell r="T10">
            <v>31739.9506800001</v>
          </cell>
          <cell r="U10">
            <v>67104.218978158809</v>
          </cell>
          <cell r="V10">
            <v>46118.128229143935</v>
          </cell>
          <cell r="W10">
            <v>37292.462990000044</v>
          </cell>
          <cell r="X10">
            <v>51930.3508599997</v>
          </cell>
          <cell r="Y10">
            <v>5286.18604706732</v>
          </cell>
          <cell r="Z10">
            <v>58403.062476651321</v>
          </cell>
          <cell r="AD10">
            <v>0</v>
          </cell>
          <cell r="AH10">
            <v>0</v>
          </cell>
          <cell r="AL10">
            <v>0</v>
          </cell>
          <cell r="AP10">
            <v>0</v>
          </cell>
          <cell r="AT10">
            <v>0</v>
          </cell>
          <cell r="AX10">
            <v>0</v>
          </cell>
          <cell r="AZ10">
            <v>169450.50692999989</v>
          </cell>
          <cell r="BA10">
            <v>162948.36902999983</v>
          </cell>
          <cell r="BB10">
            <v>198540.5651485968</v>
          </cell>
          <cell r="BC10">
            <v>237268.68798213964</v>
          </cell>
          <cell r="BE10">
            <v>77194.935670000035</v>
          </cell>
          <cell r="BF10">
            <v>68115.465139999986</v>
          </cell>
          <cell r="BG10">
            <v>97292.892496391694</v>
          </cell>
          <cell r="BH10">
            <v>93359.758421625753</v>
          </cell>
          <cell r="BI10">
            <v>92254.571259999881</v>
          </cell>
          <cell r="BJ10">
            <v>94833.903889999827</v>
          </cell>
          <cell r="BK10">
            <v>101247.67265220513</v>
          </cell>
          <cell r="BL10">
            <v>143908.92956051388</v>
          </cell>
          <cell r="BM10">
            <v>0</v>
          </cell>
          <cell r="BN10">
            <v>0</v>
          </cell>
          <cell r="BO10">
            <v>0</v>
          </cell>
          <cell r="BP10">
            <v>0</v>
          </cell>
          <cell r="BQ10">
            <v>0</v>
          </cell>
          <cell r="BR10">
            <v>0</v>
          </cell>
          <cell r="BS10">
            <v>0</v>
          </cell>
          <cell r="BT10">
            <v>0</v>
          </cell>
        </row>
        <row r="11">
          <cell r="C11">
            <v>1064.23774</v>
          </cell>
          <cell r="D11">
            <v>864.59447</v>
          </cell>
          <cell r="E11">
            <v>1278.9085767439699</v>
          </cell>
          <cell r="F11">
            <v>931.37774488968614</v>
          </cell>
          <cell r="G11">
            <v>1520.00901</v>
          </cell>
          <cell r="H11">
            <v>928.01657999999998</v>
          </cell>
          <cell r="I11">
            <v>1645.15560965179</v>
          </cell>
          <cell r="J11">
            <v>757.13853543182609</v>
          </cell>
          <cell r="K11">
            <v>1338.2962799999998</v>
          </cell>
          <cell r="L11">
            <v>1117.5569800000001</v>
          </cell>
          <cell r="M11">
            <v>1204.8675936833999</v>
          </cell>
          <cell r="N11">
            <v>704.84601117102306</v>
          </cell>
          <cell r="O11">
            <v>1250.3762199999999</v>
          </cell>
          <cell r="P11">
            <v>1034.4322</v>
          </cell>
          <cell r="Q11">
            <v>1283.7182652167899</v>
          </cell>
          <cell r="R11">
            <v>716.57388117074299</v>
          </cell>
          <cell r="S11">
            <v>1382.7379400000002</v>
          </cell>
          <cell r="T11">
            <v>1143.61157</v>
          </cell>
          <cell r="U11">
            <v>1477.67386586314</v>
          </cell>
          <cell r="V11">
            <v>895.55526413433608</v>
          </cell>
          <cell r="W11">
            <v>974.35837000000004</v>
          </cell>
          <cell r="X11">
            <v>2081.96263</v>
          </cell>
          <cell r="Y11">
            <v>1164.2507412628001</v>
          </cell>
          <cell r="Z11">
            <v>762.72053098926403</v>
          </cell>
          <cell r="AD11">
            <v>0</v>
          </cell>
          <cell r="AH11">
            <v>0</v>
          </cell>
          <cell r="AL11">
            <v>0</v>
          </cell>
          <cell r="AP11">
            <v>0</v>
          </cell>
          <cell r="AT11">
            <v>0</v>
          </cell>
          <cell r="AX11">
            <v>0</v>
          </cell>
          <cell r="AZ11">
            <v>7530.0155599999998</v>
          </cell>
          <cell r="BA11">
            <v>7170.17443</v>
          </cell>
          <cell r="BB11">
            <v>8054.5746524218903</v>
          </cell>
          <cell r="BC11">
            <v>4768.2119677868786</v>
          </cell>
          <cell r="BE11">
            <v>3922.5430299999998</v>
          </cell>
          <cell r="BF11">
            <v>2910.1680299999998</v>
          </cell>
          <cell r="BG11">
            <v>4128.9317800791596</v>
          </cell>
          <cell r="BH11">
            <v>2393.3622914925354</v>
          </cell>
          <cell r="BI11">
            <v>3607.47253</v>
          </cell>
          <cell r="BJ11">
            <v>4260.0064000000002</v>
          </cell>
          <cell r="BK11">
            <v>3925.6428723427298</v>
          </cell>
          <cell r="BL11">
            <v>2374.8496762943432</v>
          </cell>
          <cell r="BM11">
            <v>0</v>
          </cell>
          <cell r="BN11">
            <v>0</v>
          </cell>
          <cell r="BO11">
            <v>0</v>
          </cell>
          <cell r="BP11">
            <v>0</v>
          </cell>
          <cell r="BQ11">
            <v>0</v>
          </cell>
          <cell r="BR11">
            <v>0</v>
          </cell>
          <cell r="BS11">
            <v>0</v>
          </cell>
          <cell r="BT11">
            <v>0</v>
          </cell>
        </row>
        <row r="12">
          <cell r="C12">
            <v>727.42862999999966</v>
          </cell>
          <cell r="D12">
            <v>-451.87112999999994</v>
          </cell>
          <cell r="E12">
            <v>70.263822604006194</v>
          </cell>
          <cell r="F12">
            <v>1063.9000508654556</v>
          </cell>
          <cell r="G12">
            <v>1847.36509</v>
          </cell>
          <cell r="H12">
            <v>-681.28745999999887</v>
          </cell>
          <cell r="I12">
            <v>41.515790431966003</v>
          </cell>
          <cell r="J12">
            <v>346.95024482658096</v>
          </cell>
          <cell r="K12">
            <v>1143.5299100000011</v>
          </cell>
          <cell r="L12">
            <v>-280.69281999999981</v>
          </cell>
          <cell r="M12">
            <v>1956.43</v>
          </cell>
          <cell r="N12">
            <v>709.878788699761</v>
          </cell>
          <cell r="O12">
            <v>817.15589</v>
          </cell>
          <cell r="P12">
            <v>732.84341999999992</v>
          </cell>
          <cell r="Q12">
            <v>437.33663999999999</v>
          </cell>
          <cell r="R12">
            <v>2061.60417415758</v>
          </cell>
          <cell r="S12">
            <v>693.76037000000088</v>
          </cell>
          <cell r="T12">
            <v>3555.5137300000001</v>
          </cell>
          <cell r="U12">
            <v>17.792630000000003</v>
          </cell>
          <cell r="V12">
            <v>1925.2150092322099</v>
          </cell>
          <cell r="W12">
            <v>480.07006000000001</v>
          </cell>
          <cell r="X12">
            <v>4272.9189400000005</v>
          </cell>
          <cell r="Y12">
            <v>5257.6421100000007</v>
          </cell>
          <cell r="Z12">
            <v>4700.8327164460898</v>
          </cell>
          <cell r="AD12">
            <v>0</v>
          </cell>
          <cell r="AH12">
            <v>0</v>
          </cell>
          <cell r="AL12">
            <v>0</v>
          </cell>
          <cell r="AP12">
            <v>0</v>
          </cell>
          <cell r="AT12">
            <v>0</v>
          </cell>
          <cell r="AX12">
            <v>0</v>
          </cell>
          <cell r="AZ12">
            <v>5709.3099500000017</v>
          </cell>
          <cell r="BA12">
            <v>7147.4246800000019</v>
          </cell>
          <cell r="BB12">
            <v>7780.9809930359734</v>
          </cell>
          <cell r="BC12">
            <v>10808.380984227677</v>
          </cell>
          <cell r="BE12">
            <v>3718.3236300000008</v>
          </cell>
          <cell r="BF12">
            <v>-1413.8514099999986</v>
          </cell>
          <cell r="BG12">
            <v>2068.2096130359723</v>
          </cell>
          <cell r="BH12">
            <v>2120.7290843917976</v>
          </cell>
          <cell r="BI12">
            <v>1990.9863200000009</v>
          </cell>
          <cell r="BJ12">
            <v>8561.2760899999994</v>
          </cell>
          <cell r="BK12">
            <v>5712.771380000001</v>
          </cell>
          <cell r="BL12">
            <v>8687.6518998358806</v>
          </cell>
          <cell r="BM12">
            <v>0</v>
          </cell>
          <cell r="BN12">
            <v>0</v>
          </cell>
          <cell r="BO12">
            <v>0</v>
          </cell>
          <cell r="BP12">
            <v>0</v>
          </cell>
          <cell r="BQ12">
            <v>0</v>
          </cell>
          <cell r="BR12">
            <v>0</v>
          </cell>
          <cell r="BS12">
            <v>0</v>
          </cell>
          <cell r="BT12">
            <v>0</v>
          </cell>
        </row>
        <row r="13">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D13">
            <v>0</v>
          </cell>
          <cell r="AH13">
            <v>0</v>
          </cell>
          <cell r="AL13">
            <v>0</v>
          </cell>
          <cell r="AP13">
            <v>0</v>
          </cell>
          <cell r="AT13">
            <v>0</v>
          </cell>
          <cell r="AX13">
            <v>0</v>
          </cell>
          <cell r="AZ13">
            <v>0</v>
          </cell>
          <cell r="BA13">
            <v>0</v>
          </cell>
          <cell r="BB13">
            <v>0</v>
          </cell>
          <cell r="BC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row>
        <row r="14">
          <cell r="C14">
            <v>547.18267000000003</v>
          </cell>
          <cell r="D14">
            <v>1479.8332300000002</v>
          </cell>
          <cell r="E14">
            <v>1125.83335005822</v>
          </cell>
          <cell r="F14">
            <v>2303.887716060231</v>
          </cell>
          <cell r="G14">
            <v>535.45623000000001</v>
          </cell>
          <cell r="H14">
            <v>915.61344999999949</v>
          </cell>
          <cell r="I14">
            <v>1473.21747492278</v>
          </cell>
          <cell r="J14">
            <v>1457.4985297044045</v>
          </cell>
          <cell r="K14">
            <v>716.22400000000005</v>
          </cell>
          <cell r="L14">
            <v>1395.3109199999994</v>
          </cell>
          <cell r="M14">
            <v>1782.5590633188199</v>
          </cell>
          <cell r="N14">
            <v>1648.4215146756001</v>
          </cell>
          <cell r="O14">
            <v>1649.0844999999999</v>
          </cell>
          <cell r="P14">
            <v>1747.5264200000001</v>
          </cell>
          <cell r="Q14">
            <v>1686.9389814523199</v>
          </cell>
          <cell r="R14">
            <v>1431.0987909241901</v>
          </cell>
          <cell r="S14">
            <v>504.07391000000013</v>
          </cell>
          <cell r="T14">
            <v>1234.90086</v>
          </cell>
          <cell r="U14">
            <v>1544.9898611779001</v>
          </cell>
          <cell r="V14">
            <v>1375.09948934874</v>
          </cell>
          <cell r="W14">
            <v>1146.42075</v>
          </cell>
          <cell r="X14">
            <v>1280.758939999999</v>
          </cell>
          <cell r="Y14">
            <v>1522.69474114388</v>
          </cell>
          <cell r="Z14">
            <v>1280.7129409767001</v>
          </cell>
          <cell r="AD14">
            <v>0</v>
          </cell>
          <cell r="AH14">
            <v>0</v>
          </cell>
          <cell r="AL14">
            <v>0</v>
          </cell>
          <cell r="AP14">
            <v>0</v>
          </cell>
          <cell r="AT14">
            <v>0</v>
          </cell>
          <cell r="AX14">
            <v>0</v>
          </cell>
          <cell r="AZ14">
            <v>5098.4420600000003</v>
          </cell>
          <cell r="BA14">
            <v>8053.9438199999977</v>
          </cell>
          <cell r="BB14">
            <v>9136.23347207392</v>
          </cell>
          <cell r="BC14">
            <v>9496.7189816898663</v>
          </cell>
          <cell r="BE14">
            <v>1798.8629000000001</v>
          </cell>
          <cell r="BF14">
            <v>3790.757599999999</v>
          </cell>
          <cell r="BG14">
            <v>4381.6098882998194</v>
          </cell>
          <cell r="BH14">
            <v>5409.8077604402351</v>
          </cell>
          <cell r="BI14">
            <v>3299.5791600000002</v>
          </cell>
          <cell r="BJ14">
            <v>4263.1862199999987</v>
          </cell>
          <cell r="BK14">
            <v>4754.6235837741006</v>
          </cell>
          <cell r="BL14">
            <v>4086.9112212496302</v>
          </cell>
          <cell r="BM14">
            <v>0</v>
          </cell>
          <cell r="BN14">
            <v>0</v>
          </cell>
          <cell r="BO14">
            <v>0</v>
          </cell>
          <cell r="BP14">
            <v>0</v>
          </cell>
          <cell r="BQ14">
            <v>0</v>
          </cell>
          <cell r="BR14">
            <v>0</v>
          </cell>
          <cell r="BS14">
            <v>0</v>
          </cell>
          <cell r="BT14">
            <v>0</v>
          </cell>
        </row>
        <row r="15">
          <cell r="C15">
            <v>2690.0458200000003</v>
          </cell>
          <cell r="D15">
            <v>3378.3287399999986</v>
          </cell>
          <cell r="E15">
            <v>3225.1187</v>
          </cell>
          <cell r="F15">
            <v>4390.1970000000101</v>
          </cell>
          <cell r="G15">
            <v>3349.0353300000002</v>
          </cell>
          <cell r="H15">
            <v>2951.5955399999989</v>
          </cell>
          <cell r="I15">
            <v>3175.3291300000001</v>
          </cell>
          <cell r="J15">
            <v>3629.6409999999855</v>
          </cell>
          <cell r="K15">
            <v>2758.7388200000005</v>
          </cell>
          <cell r="L15">
            <v>3582.6283300000018</v>
          </cell>
          <cell r="M15">
            <v>2947.52288</v>
          </cell>
          <cell r="N15">
            <v>7388.1263553907102</v>
          </cell>
          <cell r="O15">
            <v>3644.2500899999991</v>
          </cell>
          <cell r="P15">
            <v>2109.1724399999976</v>
          </cell>
          <cell r="Q15">
            <v>2911.4918499999999</v>
          </cell>
          <cell r="R15">
            <v>4333.8499999999894</v>
          </cell>
          <cell r="S15">
            <v>3500.3703500000006</v>
          </cell>
          <cell r="T15">
            <v>2788.7170000000001</v>
          </cell>
          <cell r="U15">
            <v>5227.7079999999996</v>
          </cell>
          <cell r="V15">
            <v>8083.6822792133698</v>
          </cell>
          <cell r="W15">
            <v>3353.4402299999997</v>
          </cell>
          <cell r="X15">
            <v>2953.3963399999993</v>
          </cell>
          <cell r="Y15">
            <v>3810.8040000000001</v>
          </cell>
          <cell r="Z15">
            <v>4651.2259312105998</v>
          </cell>
          <cell r="AD15">
            <v>0</v>
          </cell>
          <cell r="AH15">
            <v>0</v>
          </cell>
          <cell r="AL15">
            <v>0</v>
          </cell>
          <cell r="AP15">
            <v>0</v>
          </cell>
          <cell r="AT15">
            <v>0</v>
          </cell>
          <cell r="AX15">
            <v>0</v>
          </cell>
          <cell r="AZ15">
            <v>19295.880639999999</v>
          </cell>
          <cell r="BA15">
            <v>17763.838389999997</v>
          </cell>
          <cell r="BB15">
            <v>21297.974559999999</v>
          </cell>
          <cell r="BC15">
            <v>32476.722565814667</v>
          </cell>
          <cell r="BE15">
            <v>8797.8199700000005</v>
          </cell>
          <cell r="BF15">
            <v>9912.5526099999988</v>
          </cell>
          <cell r="BG15">
            <v>9347.9707099999996</v>
          </cell>
          <cell r="BH15">
            <v>15407.964355390706</v>
          </cell>
          <cell r="BI15">
            <v>10498.060669999999</v>
          </cell>
          <cell r="BJ15">
            <v>7851.2857799999965</v>
          </cell>
          <cell r="BK15">
            <v>11950.003849999999</v>
          </cell>
          <cell r="BL15">
            <v>17068.758210423959</v>
          </cell>
          <cell r="BM15">
            <v>0</v>
          </cell>
          <cell r="BN15">
            <v>0</v>
          </cell>
          <cell r="BO15">
            <v>0</v>
          </cell>
          <cell r="BP15">
            <v>0</v>
          </cell>
          <cell r="BQ15">
            <v>0</v>
          </cell>
          <cell r="BR15">
            <v>0</v>
          </cell>
          <cell r="BS15">
            <v>0</v>
          </cell>
          <cell r="BT15">
            <v>0</v>
          </cell>
        </row>
        <row r="16">
          <cell r="C16">
            <v>0</v>
          </cell>
          <cell r="D16">
            <v>0</v>
          </cell>
          <cell r="E16">
            <v>27708.8881587057</v>
          </cell>
          <cell r="F16">
            <v>12242.945064088533</v>
          </cell>
          <cell r="G16">
            <v>0</v>
          </cell>
          <cell r="H16">
            <v>0</v>
          </cell>
          <cell r="I16">
            <v>13258.096596055901</v>
          </cell>
          <cell r="J16">
            <v>8894.9848091447184</v>
          </cell>
          <cell r="K16">
            <v>0</v>
          </cell>
          <cell r="L16">
            <v>0</v>
          </cell>
          <cell r="M16">
            <v>5701.6217611970396</v>
          </cell>
          <cell r="N16">
            <v>12913.5054309919</v>
          </cell>
          <cell r="O16">
            <v>0</v>
          </cell>
          <cell r="P16">
            <v>0</v>
          </cell>
          <cell r="Q16">
            <v>9152.77084639233</v>
          </cell>
          <cell r="R16">
            <v>17096.389986847098</v>
          </cell>
          <cell r="S16">
            <v>0</v>
          </cell>
          <cell r="T16">
            <v>0</v>
          </cell>
          <cell r="U16">
            <v>15100.225056768799</v>
          </cell>
          <cell r="V16">
            <v>14574.231914746801</v>
          </cell>
          <cell r="W16">
            <v>0</v>
          </cell>
          <cell r="X16">
            <v>0</v>
          </cell>
          <cell r="Y16">
            <v>13114.420657662398</v>
          </cell>
          <cell r="Z16">
            <v>20023.6256938529</v>
          </cell>
          <cell r="AD16">
            <v>0</v>
          </cell>
          <cell r="AH16">
            <v>0</v>
          </cell>
          <cell r="AL16">
            <v>0</v>
          </cell>
          <cell r="AP16">
            <v>0</v>
          </cell>
          <cell r="AT16">
            <v>0</v>
          </cell>
          <cell r="AX16">
            <v>0</v>
          </cell>
          <cell r="AZ16">
            <v>0</v>
          </cell>
          <cell r="BA16">
            <v>0</v>
          </cell>
          <cell r="BB16">
            <v>84036.023076782178</v>
          </cell>
          <cell r="BC16">
            <v>85745.682899671956</v>
          </cell>
          <cell r="BE16">
            <v>0</v>
          </cell>
          <cell r="BF16">
            <v>0</v>
          </cell>
          <cell r="BG16">
            <v>46668.606515958643</v>
          </cell>
          <cell r="BH16">
            <v>34051.435304225153</v>
          </cell>
          <cell r="BI16">
            <v>0</v>
          </cell>
          <cell r="BJ16">
            <v>0</v>
          </cell>
          <cell r="BK16">
            <v>37367.416560823527</v>
          </cell>
          <cell r="BL16">
            <v>51694.247595446795</v>
          </cell>
          <cell r="BM16">
            <v>0</v>
          </cell>
          <cell r="BN16">
            <v>0</v>
          </cell>
          <cell r="BO16">
            <v>0</v>
          </cell>
          <cell r="BP16">
            <v>0</v>
          </cell>
          <cell r="BQ16">
            <v>0</v>
          </cell>
          <cell r="BR16">
            <v>0</v>
          </cell>
          <cell r="BS16">
            <v>0</v>
          </cell>
          <cell r="BT16">
            <v>0</v>
          </cell>
        </row>
        <row r="17">
          <cell r="C17">
            <v>1833.3441399999999</v>
          </cell>
          <cell r="D17">
            <v>1579.97981</v>
          </cell>
          <cell r="E17">
            <v>1555.5771515782401</v>
          </cell>
          <cell r="F17">
            <v>1509.4972593654973</v>
          </cell>
          <cell r="G17">
            <v>1541.0483100000001</v>
          </cell>
          <cell r="H17">
            <v>1680.7757900000001</v>
          </cell>
          <cell r="I17">
            <v>1882.29665225908</v>
          </cell>
          <cell r="J17">
            <v>1686.4051400623225</v>
          </cell>
          <cell r="K17">
            <v>1810.69075</v>
          </cell>
          <cell r="L17">
            <v>1851.9888900000003</v>
          </cell>
          <cell r="M17">
            <v>1979.2920750818</v>
          </cell>
          <cell r="N17">
            <v>2019.7623540678799</v>
          </cell>
          <cell r="O17">
            <v>1991.8260700000001</v>
          </cell>
          <cell r="P17">
            <v>1869.2435399999999</v>
          </cell>
          <cell r="Q17">
            <v>1872.26169382582</v>
          </cell>
          <cell r="R17">
            <v>1859.59548912011</v>
          </cell>
          <cell r="S17">
            <v>1900.9258</v>
          </cell>
          <cell r="T17">
            <v>1757.2362000000003</v>
          </cell>
          <cell r="U17">
            <v>1883.7709921334699</v>
          </cell>
          <cell r="V17">
            <v>1785.48837802498</v>
          </cell>
          <cell r="W17">
            <v>1602.8681000000001</v>
          </cell>
          <cell r="X17">
            <v>1721.0977100000002</v>
          </cell>
          <cell r="Y17">
            <v>2066.1517042117302</v>
          </cell>
          <cell r="Z17">
            <v>1753.86145274768</v>
          </cell>
          <cell r="AD17">
            <v>0</v>
          </cell>
          <cell r="AH17">
            <v>0</v>
          </cell>
          <cell r="AL17">
            <v>0</v>
          </cell>
          <cell r="AP17">
            <v>0</v>
          </cell>
          <cell r="AT17">
            <v>0</v>
          </cell>
          <cell r="AX17">
            <v>0</v>
          </cell>
          <cell r="AZ17">
            <v>10680.703170000001</v>
          </cell>
          <cell r="BA17">
            <v>10460.32194</v>
          </cell>
          <cell r="BB17">
            <v>11239.350269090141</v>
          </cell>
          <cell r="BC17">
            <v>10614.610073388469</v>
          </cell>
          <cell r="BE17">
            <v>5185.0832</v>
          </cell>
          <cell r="BF17">
            <v>5112.744490000001</v>
          </cell>
          <cell r="BG17">
            <v>5417.1658789191206</v>
          </cell>
          <cell r="BH17">
            <v>5215.6647534956992</v>
          </cell>
          <cell r="BI17">
            <v>5495.6199699999997</v>
          </cell>
          <cell r="BJ17">
            <v>5347.5774500000007</v>
          </cell>
          <cell r="BK17">
            <v>5822.1843901710199</v>
          </cell>
          <cell r="BL17">
            <v>5398.9453198927704</v>
          </cell>
          <cell r="BM17">
            <v>0</v>
          </cell>
          <cell r="BN17">
            <v>0</v>
          </cell>
          <cell r="BO17">
            <v>0</v>
          </cell>
          <cell r="BP17">
            <v>0</v>
          </cell>
          <cell r="BQ17">
            <v>0</v>
          </cell>
          <cell r="BR17">
            <v>0</v>
          </cell>
          <cell r="BS17">
            <v>0</v>
          </cell>
          <cell r="BT17">
            <v>0</v>
          </cell>
        </row>
        <row r="18">
          <cell r="C18">
            <v>12223.24409</v>
          </cell>
          <cell r="D18">
            <v>8486.9383900000012</v>
          </cell>
          <cell r="E18">
            <v>8513.9725584252901</v>
          </cell>
          <cell r="F18">
            <v>10262.860435677218</v>
          </cell>
          <cell r="G18">
            <v>7834.8972900000008</v>
          </cell>
          <cell r="H18">
            <v>7265.9281999999994</v>
          </cell>
          <cell r="I18">
            <v>7119.2445050755196</v>
          </cell>
          <cell r="J18">
            <v>6465.1262059483224</v>
          </cell>
          <cell r="K18">
            <v>7909.9806699999999</v>
          </cell>
          <cell r="L18">
            <v>9255.4661499999984</v>
          </cell>
          <cell r="M18">
            <v>6265.7644665099297</v>
          </cell>
          <cell r="N18">
            <v>7233.6062658438495</v>
          </cell>
          <cell r="O18">
            <v>9180.3184700000002</v>
          </cell>
          <cell r="P18">
            <v>8217.0589499999987</v>
          </cell>
          <cell r="Q18">
            <v>9121.4866234027795</v>
          </cell>
          <cell r="R18">
            <v>7607.1836360716106</v>
          </cell>
          <cell r="S18">
            <v>8025.3167100000001</v>
          </cell>
          <cell r="T18">
            <v>8036.8018499999998</v>
          </cell>
          <cell r="U18">
            <v>9892.5145994170107</v>
          </cell>
          <cell r="V18">
            <v>9994.1585861535204</v>
          </cell>
          <cell r="W18">
            <v>8317.9261200000001</v>
          </cell>
          <cell r="X18">
            <v>9862.0735800000002</v>
          </cell>
          <cell r="Y18">
            <v>16846.796890254584</v>
          </cell>
          <cell r="Z18">
            <v>7320.2423098480895</v>
          </cell>
          <cell r="AD18">
            <v>0</v>
          </cell>
          <cell r="AH18">
            <v>0</v>
          </cell>
          <cell r="AL18">
            <v>0</v>
          </cell>
          <cell r="AP18">
            <v>0</v>
          </cell>
          <cell r="AT18">
            <v>0</v>
          </cell>
          <cell r="AX18">
            <v>0</v>
          </cell>
          <cell r="AZ18">
            <v>53491.683350000007</v>
          </cell>
          <cell r="BA18">
            <v>51124.26711999999</v>
          </cell>
          <cell r="BB18">
            <v>57759.779643085116</v>
          </cell>
          <cell r="BC18">
            <v>48883.177439542611</v>
          </cell>
          <cell r="BE18">
            <v>27968.122050000002</v>
          </cell>
          <cell r="BF18">
            <v>25008.332739999998</v>
          </cell>
          <cell r="BG18">
            <v>21898.98153001074</v>
          </cell>
          <cell r="BH18">
            <v>23961.592907469389</v>
          </cell>
          <cell r="BI18">
            <v>25523.561300000001</v>
          </cell>
          <cell r="BJ18">
            <v>26115.934379999999</v>
          </cell>
          <cell r="BK18">
            <v>35860.798113074372</v>
          </cell>
          <cell r="BL18">
            <v>24921.584532073222</v>
          </cell>
          <cell r="BM18">
            <v>0</v>
          </cell>
          <cell r="BN18">
            <v>0</v>
          </cell>
          <cell r="BO18">
            <v>0</v>
          </cell>
          <cell r="BP18">
            <v>0</v>
          </cell>
          <cell r="BQ18">
            <v>0</v>
          </cell>
          <cell r="BR18">
            <v>0</v>
          </cell>
          <cell r="BS18">
            <v>0</v>
          </cell>
          <cell r="BT18">
            <v>0</v>
          </cell>
        </row>
        <row r="19">
          <cell r="C19">
            <v>2618.9361600000102</v>
          </cell>
          <cell r="D19">
            <v>14888.540429999995</v>
          </cell>
          <cell r="E19">
            <v>913.39863556009709</v>
          </cell>
          <cell r="F19">
            <v>-16582.345937859089</v>
          </cell>
          <cell r="G19">
            <v>9714.9150100000206</v>
          </cell>
          <cell r="H19">
            <v>-1264.6896499999407</v>
          </cell>
          <cell r="I19">
            <v>2527.2087100210501</v>
          </cell>
          <cell r="J19">
            <v>1333.5786147826334</v>
          </cell>
          <cell r="K19">
            <v>13470.32972</v>
          </cell>
          <cell r="L19">
            <v>9170.9102999999395</v>
          </cell>
          <cell r="M19">
            <v>-59.190765492930076</v>
          </cell>
          <cell r="N19">
            <v>20047.969287796699</v>
          </cell>
          <cell r="O19">
            <v>6075.6909399999386</v>
          </cell>
          <cell r="P19">
            <v>-4546.6746199999734</v>
          </cell>
          <cell r="Q19">
            <v>2391.2627266889499</v>
          </cell>
          <cell r="R19">
            <v>4281.4428964272893</v>
          </cell>
          <cell r="S19">
            <v>14346.221009999901</v>
          </cell>
          <cell r="T19">
            <v>13223.169470000099</v>
          </cell>
          <cell r="U19">
            <v>31959.543972798499</v>
          </cell>
          <cell r="V19">
            <v>7484.6973082899794</v>
          </cell>
          <cell r="W19">
            <v>21418.379359999999</v>
          </cell>
          <cell r="X19">
            <v>29757.142719999702</v>
          </cell>
          <cell r="Y19">
            <v>-38496.574797468078</v>
          </cell>
          <cell r="Z19">
            <v>17909.840900579999</v>
          </cell>
          <cell r="AD19">
            <v>0</v>
          </cell>
          <cell r="AH19">
            <v>0</v>
          </cell>
          <cell r="AL19">
            <v>0</v>
          </cell>
          <cell r="AP19">
            <v>0</v>
          </cell>
          <cell r="AT19">
            <v>0</v>
          </cell>
          <cell r="AX19">
            <v>0</v>
          </cell>
          <cell r="AZ19">
            <v>67644.472199999873</v>
          </cell>
          <cell r="BA19">
            <v>61228.398649999828</v>
          </cell>
          <cell r="BB19">
            <v>-764.35151789241354</v>
          </cell>
          <cell r="BC19">
            <v>34475.183070017505</v>
          </cell>
          <cell r="BE19">
            <v>25804.180890000032</v>
          </cell>
          <cell r="BF19">
            <v>22794.761079999997</v>
          </cell>
          <cell r="BG19">
            <v>3381.4165800882174</v>
          </cell>
          <cell r="BH19">
            <v>4799.2019647202433</v>
          </cell>
          <cell r="BI19">
            <v>41840.29130999984</v>
          </cell>
          <cell r="BJ19">
            <v>38433.637569999832</v>
          </cell>
          <cell r="BK19">
            <v>-4145.7680979806319</v>
          </cell>
          <cell r="BL19">
            <v>29675.981105297265</v>
          </cell>
          <cell r="BM19">
            <v>0</v>
          </cell>
          <cell r="BN19">
            <v>0</v>
          </cell>
          <cell r="BO19">
            <v>0</v>
          </cell>
          <cell r="BP19">
            <v>0</v>
          </cell>
          <cell r="BQ19">
            <v>0</v>
          </cell>
          <cell r="BR19">
            <v>0</v>
          </cell>
          <cell r="BS19">
            <v>0</v>
          </cell>
          <cell r="BT19">
            <v>0</v>
          </cell>
        </row>
        <row r="20">
          <cell r="AZ20">
            <v>0</v>
          </cell>
          <cell r="BA20">
            <v>0</v>
          </cell>
          <cell r="BB20">
            <v>0</v>
          </cell>
          <cell r="BC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row>
        <row r="22">
          <cell r="C22">
            <v>-217148.39292000007</v>
          </cell>
          <cell r="D22">
            <v>-193366.5588451454</v>
          </cell>
          <cell r="E22">
            <v>-197287.23437169043</v>
          </cell>
          <cell r="F22">
            <v>-155736.29017120597</v>
          </cell>
          <cell r="G22">
            <v>-204290.64880999984</v>
          </cell>
          <cell r="H22">
            <v>-197526.85815189473</v>
          </cell>
          <cell r="I22">
            <v>-187790.46299163575</v>
          </cell>
          <cell r="J22">
            <v>-143552.98893374199</v>
          </cell>
          <cell r="K22">
            <v>-195931.45406000008</v>
          </cell>
          <cell r="L22">
            <v>-208873.88119212262</v>
          </cell>
          <cell r="M22">
            <v>-190611.47149856974</v>
          </cell>
          <cell r="N22">
            <v>-189426.06329898749</v>
          </cell>
          <cell r="O22">
            <v>-217457.03648076096</v>
          </cell>
          <cell r="P22">
            <v>-206400.65969748516</v>
          </cell>
          <cell r="Q22">
            <v>-183616.74965824626</v>
          </cell>
          <cell r="R22">
            <v>-167487.33612472995</v>
          </cell>
          <cell r="S22">
            <v>-206377.09924871795</v>
          </cell>
          <cell r="T22">
            <v>-212978.25132433997</v>
          </cell>
          <cell r="U22">
            <v>-178663.04698728115</v>
          </cell>
          <cell r="V22">
            <v>-164040.30178927191</v>
          </cell>
          <cell r="W22">
            <v>-216139.29279588314</v>
          </cell>
          <cell r="X22">
            <v>-197186.43670500309</v>
          </cell>
          <cell r="Y22">
            <v>-165880.2409765787</v>
          </cell>
          <cell r="Z22">
            <v>-114879.79894454597</v>
          </cell>
          <cell r="AD22">
            <v>0</v>
          </cell>
          <cell r="AH22">
            <v>0</v>
          </cell>
          <cell r="AL22">
            <v>0</v>
          </cell>
          <cell r="AP22">
            <v>0</v>
          </cell>
          <cell r="AT22">
            <v>0</v>
          </cell>
          <cell r="AX22">
            <v>0</v>
          </cell>
          <cell r="AZ22">
            <v>-1257343.924315362</v>
          </cell>
          <cell r="BA22">
            <v>-1216332.6459159909</v>
          </cell>
          <cell r="BB22">
            <v>-1103849.2064840021</v>
          </cell>
          <cell r="BC22">
            <v>-935122.77926248324</v>
          </cell>
          <cell r="BE22">
            <v>-617370.49579000007</v>
          </cell>
          <cell r="BF22">
            <v>-599767.29818916274</v>
          </cell>
          <cell r="BG22">
            <v>-575689.16886189592</v>
          </cell>
          <cell r="BH22">
            <v>-488715.34240393538</v>
          </cell>
          <cell r="BI22">
            <v>-639973.42852536205</v>
          </cell>
          <cell r="BJ22">
            <v>-616565.34772682819</v>
          </cell>
          <cell r="BK22">
            <v>-528160.03762210615</v>
          </cell>
          <cell r="BL22">
            <v>-446407.43685854779</v>
          </cell>
          <cell r="BM22">
            <v>0</v>
          </cell>
          <cell r="BN22">
            <v>0</v>
          </cell>
          <cell r="BO22">
            <v>0</v>
          </cell>
          <cell r="BP22">
            <v>0</v>
          </cell>
          <cell r="BQ22">
            <v>0</v>
          </cell>
          <cell r="BR22">
            <v>0</v>
          </cell>
          <cell r="BS22">
            <v>0</v>
          </cell>
          <cell r="BT22">
            <v>0</v>
          </cell>
        </row>
        <row r="23">
          <cell r="C23">
            <v>-68585.966089607609</v>
          </cell>
          <cell r="D23">
            <v>-53946.644993732996</v>
          </cell>
          <cell r="E23">
            <v>-51928.382505906906</v>
          </cell>
          <cell r="F23">
            <v>-45230.840414491089</v>
          </cell>
          <cell r="G23">
            <v>-57921.390220003137</v>
          </cell>
          <cell r="H23">
            <v>-56363.688766121239</v>
          </cell>
          <cell r="I23">
            <v>-54715.750664213403</v>
          </cell>
          <cell r="J23">
            <v>-48519.956687926766</v>
          </cell>
          <cell r="K23">
            <v>-67590.684980004808</v>
          </cell>
          <cell r="L23">
            <v>-59639.159857723585</v>
          </cell>
          <cell r="M23">
            <v>-47149.942940864901</v>
          </cell>
          <cell r="N23">
            <v>-45580.683493230703</v>
          </cell>
          <cell r="O23">
            <v>-64252.60313126837</v>
          </cell>
          <cell r="P23">
            <v>-61688.172976640541</v>
          </cell>
          <cell r="Q23">
            <v>-49549.272101421899</v>
          </cell>
          <cell r="R23">
            <v>-50505.5860227995</v>
          </cell>
          <cell r="S23">
            <v>-61466.13317930785</v>
          </cell>
          <cell r="T23">
            <v>-60324.382519473467</v>
          </cell>
          <cell r="U23">
            <v>-47752.311416951903</v>
          </cell>
          <cell r="V23">
            <v>-48297.757783042805</v>
          </cell>
          <cell r="W23">
            <v>-62178.43787581451</v>
          </cell>
          <cell r="X23">
            <v>-55478.28058171727</v>
          </cell>
          <cell r="Y23">
            <v>-48512.455872152095</v>
          </cell>
          <cell r="Z23">
            <v>-48250.246694432899</v>
          </cell>
          <cell r="AD23">
            <v>0</v>
          </cell>
          <cell r="AH23">
            <v>0</v>
          </cell>
          <cell r="AL23">
            <v>0</v>
          </cell>
          <cell r="AP23">
            <v>0</v>
          </cell>
          <cell r="AT23">
            <v>0</v>
          </cell>
          <cell r="AX23">
            <v>0</v>
          </cell>
          <cell r="AZ23">
            <v>-381995.21547600627</v>
          </cell>
          <cell r="BA23">
            <v>-347440.32969540911</v>
          </cell>
          <cell r="BB23">
            <v>-299608.11550151109</v>
          </cell>
          <cell r="BC23">
            <v>-286385.07109592378</v>
          </cell>
          <cell r="BE23">
            <v>-194098.04128961556</v>
          </cell>
          <cell r="BF23">
            <v>-169949.49361757783</v>
          </cell>
          <cell r="BG23">
            <v>-153794.07611098519</v>
          </cell>
          <cell r="BH23">
            <v>-139331.48059564855</v>
          </cell>
          <cell r="BI23">
            <v>-187897.17418639074</v>
          </cell>
          <cell r="BJ23">
            <v>-177490.83607783128</v>
          </cell>
          <cell r="BK23">
            <v>-145814.0393905259</v>
          </cell>
          <cell r="BL23">
            <v>-147053.5905002752</v>
          </cell>
          <cell r="BM23">
            <v>0</v>
          </cell>
          <cell r="BN23">
            <v>0</v>
          </cell>
          <cell r="BO23">
            <v>0</v>
          </cell>
          <cell r="BP23">
            <v>0</v>
          </cell>
          <cell r="BQ23">
            <v>0</v>
          </cell>
          <cell r="BR23">
            <v>0</v>
          </cell>
          <cell r="BS23">
            <v>0</v>
          </cell>
          <cell r="BT23">
            <v>0</v>
          </cell>
        </row>
        <row r="24">
          <cell r="C24">
            <v>-24283.722399999999</v>
          </cell>
          <cell r="D24">
            <v>-17800.90698</v>
          </cell>
          <cell r="E24">
            <v>-17575.922705972102</v>
          </cell>
          <cell r="F24">
            <v>-11877.493863256741</v>
          </cell>
          <cell r="G24">
            <v>-24764.433730000001</v>
          </cell>
          <cell r="H24">
            <v>-18489.07346</v>
          </cell>
          <cell r="I24">
            <v>-17995.321920148737</v>
          </cell>
          <cell r="J24">
            <v>-13264.066616616699</v>
          </cell>
          <cell r="K24">
            <v>-21218.027529999999</v>
          </cell>
          <cell r="L24">
            <v>-16020.5137</v>
          </cell>
          <cell r="M24">
            <v>-13738.717900477819</v>
          </cell>
          <cell r="N24">
            <v>-12645.039138181921</v>
          </cell>
          <cell r="O24">
            <v>-22561.828920000004</v>
          </cell>
          <cell r="P24">
            <v>-18159.642879999989</v>
          </cell>
          <cell r="Q24">
            <v>-15923.901545135301</v>
          </cell>
          <cell r="R24">
            <v>-13491.30205167402</v>
          </cell>
          <cell r="S24">
            <v>-19720.921019999987</v>
          </cell>
          <cell r="T24">
            <v>-17641.140749999988</v>
          </cell>
          <cell r="U24">
            <v>-14252.133512012349</v>
          </cell>
          <cell r="V24">
            <v>-12893.171489214999</v>
          </cell>
          <cell r="W24">
            <v>-19390.940950000011</v>
          </cell>
          <cell r="X24">
            <v>-17981.399920000003</v>
          </cell>
          <cell r="Y24">
            <v>-14832.690852948799</v>
          </cell>
          <cell r="Z24">
            <v>-14693.71140311658</v>
          </cell>
          <cell r="AD24">
            <v>0</v>
          </cell>
          <cell r="AH24">
            <v>0</v>
          </cell>
          <cell r="AL24">
            <v>0</v>
          </cell>
          <cell r="AP24">
            <v>0</v>
          </cell>
          <cell r="AT24">
            <v>0</v>
          </cell>
          <cell r="AX24">
            <v>0</v>
          </cell>
          <cell r="AZ24">
            <v>-131939.87455000001</v>
          </cell>
          <cell r="BA24">
            <v>-106092.67768999998</v>
          </cell>
          <cell r="BB24">
            <v>-94318.688436695113</v>
          </cell>
          <cell r="BC24">
            <v>-78864.784562060959</v>
          </cell>
          <cell r="BE24">
            <v>-70266.18366000001</v>
          </cell>
          <cell r="BF24">
            <v>-52310.494139999995</v>
          </cell>
          <cell r="BG24">
            <v>-49309.962526598654</v>
          </cell>
          <cell r="BH24">
            <v>-37786.599618055363</v>
          </cell>
          <cell r="BI24">
            <v>-61673.690890000005</v>
          </cell>
          <cell r="BJ24">
            <v>-53782.18354999998</v>
          </cell>
          <cell r="BK24">
            <v>-45008.725910096451</v>
          </cell>
          <cell r="BL24">
            <v>-41078.184944005596</v>
          </cell>
          <cell r="BM24">
            <v>0</v>
          </cell>
          <cell r="BN24">
            <v>0</v>
          </cell>
          <cell r="BO24">
            <v>0</v>
          </cell>
          <cell r="BP24">
            <v>0</v>
          </cell>
          <cell r="BQ24">
            <v>0</v>
          </cell>
          <cell r="BR24">
            <v>0</v>
          </cell>
          <cell r="BS24">
            <v>0</v>
          </cell>
          <cell r="BT24">
            <v>0</v>
          </cell>
        </row>
        <row r="25">
          <cell r="C25">
            <v>-3415.0806986785597</v>
          </cell>
          <cell r="D25">
            <v>-3464.3771387320203</v>
          </cell>
          <cell r="E25">
            <v>-7983.4906141189895</v>
          </cell>
          <cell r="F25">
            <v>-2267.438990535155</v>
          </cell>
          <cell r="G25">
            <v>-3420.0164655835097</v>
          </cell>
          <cell r="H25">
            <v>-3175.5221944561599</v>
          </cell>
          <cell r="I25">
            <v>-3728.1795815990399</v>
          </cell>
          <cell r="J25">
            <v>-2563.782101212109</v>
          </cell>
          <cell r="K25">
            <v>-3790.5042862314808</v>
          </cell>
          <cell r="L25">
            <v>-3369.2329091330698</v>
          </cell>
          <cell r="M25">
            <v>-3562.72636821695</v>
          </cell>
          <cell r="N25">
            <v>-2571.3796616064701</v>
          </cell>
          <cell r="O25">
            <v>-3788.8888984279702</v>
          </cell>
          <cell r="P25">
            <v>-3755.8153712452013</v>
          </cell>
          <cell r="Q25">
            <v>-3234.9612818124501</v>
          </cell>
          <cell r="R25">
            <v>-2506.64842852834</v>
          </cell>
          <cell r="S25">
            <v>-3333.6963027817187</v>
          </cell>
          <cell r="T25">
            <v>-3566.6652348153489</v>
          </cell>
          <cell r="U25">
            <v>-3202.6384524861101</v>
          </cell>
          <cell r="V25">
            <v>-2620.5747808897204</v>
          </cell>
          <cell r="W25">
            <v>-3371.5108856417919</v>
          </cell>
          <cell r="X25">
            <v>-3999.96471928651</v>
          </cell>
          <cell r="Y25">
            <v>-3158.5999058637399</v>
          </cell>
          <cell r="Z25">
            <v>-3225.8650416584501</v>
          </cell>
          <cell r="AD25">
            <v>0</v>
          </cell>
          <cell r="AH25">
            <v>0</v>
          </cell>
          <cell r="AL25">
            <v>0</v>
          </cell>
          <cell r="AP25">
            <v>0</v>
          </cell>
          <cell r="AT25">
            <v>0</v>
          </cell>
          <cell r="AX25">
            <v>0</v>
          </cell>
          <cell r="AZ25">
            <v>-21119.697537345033</v>
          </cell>
          <cell r="BA25">
            <v>-21331.577567668308</v>
          </cell>
          <cell r="BB25">
            <v>-24870.596204097281</v>
          </cell>
          <cell r="BC25">
            <v>-15755.689004430245</v>
          </cell>
          <cell r="BE25">
            <v>-10625.60145049355</v>
          </cell>
          <cell r="BF25">
            <v>-10009.13224232125</v>
          </cell>
          <cell r="BG25">
            <v>-15274.396563934981</v>
          </cell>
          <cell r="BH25">
            <v>-7402.600753353734</v>
          </cell>
          <cell r="BI25">
            <v>-10494.096086851481</v>
          </cell>
          <cell r="BJ25">
            <v>-11322.44532534706</v>
          </cell>
          <cell r="BK25">
            <v>-9596.1996401623001</v>
          </cell>
          <cell r="BL25">
            <v>-8353.0882510765096</v>
          </cell>
          <cell r="BM25">
            <v>0</v>
          </cell>
          <cell r="BN25">
            <v>0</v>
          </cell>
          <cell r="BO25">
            <v>0</v>
          </cell>
          <cell r="BP25">
            <v>0</v>
          </cell>
          <cell r="BQ25">
            <v>0</v>
          </cell>
          <cell r="BR25">
            <v>0</v>
          </cell>
          <cell r="BS25">
            <v>0</v>
          </cell>
          <cell r="BT25">
            <v>0</v>
          </cell>
        </row>
        <row r="26">
          <cell r="C26">
            <v>-26840.4067321603</v>
          </cell>
          <cell r="D26">
            <v>-26114.052209541998</v>
          </cell>
          <cell r="E26">
            <v>-26272.431447708001</v>
          </cell>
          <cell r="F26">
            <v>-19776.562097558028</v>
          </cell>
          <cell r="G26">
            <v>-25253.884191137702</v>
          </cell>
          <cell r="H26">
            <v>-25877.016721997501</v>
          </cell>
          <cell r="I26">
            <v>-24668.261082382898</v>
          </cell>
          <cell r="J26">
            <v>-22587.662938415287</v>
          </cell>
          <cell r="K26">
            <v>-29027.3528151467</v>
          </cell>
          <cell r="L26">
            <v>-26654.370533723199</v>
          </cell>
          <cell r="M26">
            <v>-25273.520741276301</v>
          </cell>
          <cell r="N26">
            <v>-23447.087782599901</v>
          </cell>
          <cell r="O26">
            <v>-29113.7989795475</v>
          </cell>
          <cell r="P26">
            <v>-27950.7355071651</v>
          </cell>
          <cell r="Q26">
            <v>-24959.854588659902</v>
          </cell>
          <cell r="R26">
            <v>-23067.745037980003</v>
          </cell>
          <cell r="S26">
            <v>-27721.858978716602</v>
          </cell>
          <cell r="T26">
            <v>-28448.651063915098</v>
          </cell>
          <cell r="U26">
            <v>-25558.764405926901</v>
          </cell>
          <cell r="V26">
            <v>-23349.518122967602</v>
          </cell>
          <cell r="W26">
            <v>-27099.645891029402</v>
          </cell>
          <cell r="X26">
            <v>-28446.778239646799</v>
          </cell>
          <cell r="Y26">
            <v>-25056.380333891</v>
          </cell>
          <cell r="Z26">
            <v>-26308.720605576298</v>
          </cell>
          <cell r="AD26">
            <v>0</v>
          </cell>
          <cell r="AH26">
            <v>0</v>
          </cell>
          <cell r="AL26">
            <v>0</v>
          </cell>
          <cell r="AP26">
            <v>0</v>
          </cell>
          <cell r="AT26">
            <v>0</v>
          </cell>
          <cell r="AX26">
            <v>0</v>
          </cell>
          <cell r="AZ26">
            <v>-165056.94758773822</v>
          </cell>
          <cell r="BA26">
            <v>-163491.6042759897</v>
          </cell>
          <cell r="BB26">
            <v>-151789.21259984499</v>
          </cell>
          <cell r="BC26">
            <v>-138537.29658509712</v>
          </cell>
          <cell r="BE26">
            <v>-81121.643738444705</v>
          </cell>
          <cell r="BF26">
            <v>-78645.439465262694</v>
          </cell>
          <cell r="BG26">
            <v>-76214.213271367204</v>
          </cell>
          <cell r="BH26">
            <v>-65811.31281857322</v>
          </cell>
          <cell r="BI26">
            <v>-83935.303849293501</v>
          </cell>
          <cell r="BJ26">
            <v>-84846.164810727001</v>
          </cell>
          <cell r="BK26">
            <v>-75574.999328477803</v>
          </cell>
          <cell r="BL26">
            <v>-72725.983766523903</v>
          </cell>
          <cell r="BM26">
            <v>0</v>
          </cell>
          <cell r="BN26">
            <v>0</v>
          </cell>
          <cell r="BO26">
            <v>0</v>
          </cell>
          <cell r="BP26">
            <v>0</v>
          </cell>
          <cell r="BQ26">
            <v>0</v>
          </cell>
          <cell r="BR26">
            <v>0</v>
          </cell>
          <cell r="BS26">
            <v>0</v>
          </cell>
          <cell r="BT26">
            <v>0</v>
          </cell>
        </row>
        <row r="27">
          <cell r="C27">
            <v>-43179.724580641101</v>
          </cell>
          <cell r="D27">
            <v>-44030.621614746895</v>
          </cell>
          <cell r="E27">
            <v>-45552.5240216616</v>
          </cell>
          <cell r="F27">
            <v>-33292.405048019347</v>
          </cell>
          <cell r="G27">
            <v>-41045.5210809989</v>
          </cell>
          <cell r="H27">
            <v>-42434.388852936296</v>
          </cell>
          <cell r="I27">
            <v>-41696.2055372553</v>
          </cell>
          <cell r="J27">
            <v>-36980.16662010966</v>
          </cell>
          <cell r="K27">
            <v>-46267.8277108935</v>
          </cell>
          <cell r="L27">
            <v>-44602.425110676006</v>
          </cell>
          <cell r="M27">
            <v>-42169.572602774904</v>
          </cell>
          <cell r="N27">
            <v>-37019.645097979796</v>
          </cell>
          <cell r="O27">
            <v>-46012.795427664401</v>
          </cell>
          <cell r="P27">
            <v>-45129.089585941598</v>
          </cell>
          <cell r="Q27">
            <v>-41746.022268902896</v>
          </cell>
          <cell r="R27">
            <v>-36982.134132159801</v>
          </cell>
          <cell r="S27">
            <v>-43625.742501904206</v>
          </cell>
          <cell r="T27">
            <v>-46877.330456952899</v>
          </cell>
          <cell r="U27">
            <v>-41778.803779065602</v>
          </cell>
          <cell r="V27">
            <v>-36012.267106627303</v>
          </cell>
          <cell r="W27">
            <v>-42735.877823224</v>
          </cell>
          <cell r="X27">
            <v>-46325.763163818403</v>
          </cell>
          <cell r="Y27">
            <v>-42380.198051856802</v>
          </cell>
          <cell r="Z27">
            <v>-39345.894175825</v>
          </cell>
          <cell r="AD27">
            <v>0</v>
          </cell>
          <cell r="AH27">
            <v>0</v>
          </cell>
          <cell r="AL27">
            <v>0</v>
          </cell>
          <cell r="AP27">
            <v>0</v>
          </cell>
          <cell r="AT27">
            <v>0</v>
          </cell>
          <cell r="AX27">
            <v>0</v>
          </cell>
          <cell r="AZ27">
            <v>-262867.4891253261</v>
          </cell>
          <cell r="BA27">
            <v>-269399.61878507212</v>
          </cell>
          <cell r="BB27">
            <v>-255323.32626151713</v>
          </cell>
          <cell r="BC27">
            <v>-219632.51218072092</v>
          </cell>
          <cell r="BE27">
            <v>-130493.0733725335</v>
          </cell>
          <cell r="BF27">
            <v>-131067.4355783592</v>
          </cell>
          <cell r="BG27">
            <v>-129418.30216169181</v>
          </cell>
          <cell r="BH27">
            <v>-107292.2167661088</v>
          </cell>
          <cell r="BI27">
            <v>-132374.41575279261</v>
          </cell>
          <cell r="BJ27">
            <v>-138332.18320671289</v>
          </cell>
          <cell r="BK27">
            <v>-125905.0240998253</v>
          </cell>
          <cell r="BL27">
            <v>-112340.2954146121</v>
          </cell>
          <cell r="BM27">
            <v>0</v>
          </cell>
          <cell r="BN27">
            <v>0</v>
          </cell>
          <cell r="BO27">
            <v>0</v>
          </cell>
          <cell r="BP27">
            <v>0</v>
          </cell>
          <cell r="BQ27">
            <v>0</v>
          </cell>
          <cell r="BR27">
            <v>0</v>
          </cell>
          <cell r="BS27">
            <v>0</v>
          </cell>
          <cell r="BT27">
            <v>0</v>
          </cell>
        </row>
        <row r="28">
          <cell r="C28">
            <v>-48392.059371431133</v>
          </cell>
          <cell r="D28">
            <v>-45797.936488998341</v>
          </cell>
          <cell r="E28">
            <v>-44752.334492698443</v>
          </cell>
          <cell r="F28">
            <v>-40883.303839697423</v>
          </cell>
          <cell r="G28">
            <v>-49702.301760587136</v>
          </cell>
          <cell r="H28">
            <v>-49072.98118141279</v>
          </cell>
          <cell r="I28">
            <v>-42581.963991861368</v>
          </cell>
          <cell r="J28">
            <v>-17790.828758240605</v>
          </cell>
          <cell r="K28">
            <v>-25723.705555116027</v>
          </cell>
          <cell r="L28">
            <v>-51862.425645783384</v>
          </cell>
          <cell r="M28">
            <v>-54679.393262113146</v>
          </cell>
          <cell r="N28">
            <v>-65551.519565489711</v>
          </cell>
          <cell r="O28">
            <v>-49405.321750209623</v>
          </cell>
          <cell r="P28">
            <v>-47285.188196449759</v>
          </cell>
          <cell r="Q28">
            <v>-44529.114402346029</v>
          </cell>
          <cell r="R28">
            <v>-38642.132435749598</v>
          </cell>
          <cell r="S28">
            <v>-48405.607744895315</v>
          </cell>
          <cell r="T28">
            <v>-50930.453204214871</v>
          </cell>
          <cell r="U28">
            <v>-43297.365977917885</v>
          </cell>
          <cell r="V28">
            <v>-38309.573172891913</v>
          </cell>
          <cell r="W28">
            <v>-49932.148262759787</v>
          </cell>
          <cell r="X28">
            <v>-41118.992151910359</v>
          </cell>
          <cell r="Y28">
            <v>-28961.452772717097</v>
          </cell>
          <cell r="Z28">
            <v>18975.646382932835</v>
          </cell>
          <cell r="AD28">
            <v>0</v>
          </cell>
          <cell r="AH28">
            <v>0</v>
          </cell>
          <cell r="AL28">
            <v>0</v>
          </cell>
          <cell r="AP28">
            <v>0</v>
          </cell>
          <cell r="AT28">
            <v>0</v>
          </cell>
          <cell r="AX28">
            <v>0</v>
          </cell>
          <cell r="AZ28">
            <v>-271561.14444499905</v>
          </cell>
          <cell r="BA28">
            <v>-286067.9768687695</v>
          </cell>
          <cell r="BB28">
            <v>-258801.62489965398</v>
          </cell>
          <cell r="BC28">
            <v>-182201.71138913641</v>
          </cell>
          <cell r="BE28">
            <v>-123818.0666871343</v>
          </cell>
          <cell r="BF28">
            <v>-146733.34331619451</v>
          </cell>
          <cell r="BG28">
            <v>-142013.69174667296</v>
          </cell>
          <cell r="BH28">
            <v>-124225.65216342773</v>
          </cell>
          <cell r="BI28">
            <v>-147743.07775786472</v>
          </cell>
          <cell r="BJ28">
            <v>-139334.63355257499</v>
          </cell>
          <cell r="BK28">
            <v>-116787.933152981</v>
          </cell>
          <cell r="BL28">
            <v>-57976.059225708676</v>
          </cell>
          <cell r="BM28">
            <v>0</v>
          </cell>
          <cell r="BN28">
            <v>0</v>
          </cell>
          <cell r="BO28">
            <v>0</v>
          </cell>
          <cell r="BP28">
            <v>0</v>
          </cell>
          <cell r="BQ28">
            <v>0</v>
          </cell>
          <cell r="BR28">
            <v>0</v>
          </cell>
          <cell r="BS28">
            <v>0</v>
          </cell>
          <cell r="BT28">
            <v>0</v>
          </cell>
        </row>
        <row r="29">
          <cell r="C29">
            <v>-2408.1319574813801</v>
          </cell>
          <cell r="D29">
            <v>-2167.9193493931771</v>
          </cell>
          <cell r="E29">
            <v>-3222.148583624401</v>
          </cell>
          <cell r="F29">
            <v>-2408.2459176481971</v>
          </cell>
          <cell r="G29">
            <v>-2139.5175116894652</v>
          </cell>
          <cell r="H29">
            <v>-2068.3311449707689</v>
          </cell>
          <cell r="I29">
            <v>-2404.7802141749671</v>
          </cell>
          <cell r="J29">
            <v>-1846.5252112208307</v>
          </cell>
          <cell r="K29">
            <v>-2270.5984026075412</v>
          </cell>
          <cell r="L29">
            <v>-6678.471065083394</v>
          </cell>
          <cell r="M29">
            <v>-4037.597682845691</v>
          </cell>
          <cell r="N29">
            <v>-2610.7085598989811</v>
          </cell>
          <cell r="O29">
            <v>-2278.7881536430768</v>
          </cell>
          <cell r="P29">
            <v>-2377.6270900429618</v>
          </cell>
          <cell r="Q29">
            <v>-3673.6234699677925</v>
          </cell>
          <cell r="R29">
            <v>-2291.7880158386802</v>
          </cell>
          <cell r="S29">
            <v>-2059.978711112261</v>
          </cell>
          <cell r="T29">
            <v>-5141.5403649682848</v>
          </cell>
          <cell r="U29">
            <v>-2821.0294429204209</v>
          </cell>
          <cell r="V29">
            <v>-2557.4393336375665</v>
          </cell>
          <cell r="W29">
            <v>-11404.589657413655</v>
          </cell>
          <cell r="X29">
            <v>-3786.6767686237545</v>
          </cell>
          <cell r="Y29">
            <v>-2978.4631871491447</v>
          </cell>
          <cell r="Z29">
            <v>-2031.007406869584</v>
          </cell>
          <cell r="AD29">
            <v>0</v>
          </cell>
          <cell r="AH29">
            <v>0</v>
          </cell>
          <cell r="AL29">
            <v>0</v>
          </cell>
          <cell r="AP29">
            <v>0</v>
          </cell>
          <cell r="AT29">
            <v>0</v>
          </cell>
          <cell r="AX29">
            <v>0</v>
          </cell>
          <cell r="AZ29">
            <v>-22561.604393947378</v>
          </cell>
          <cell r="BA29">
            <v>-22220.56578308234</v>
          </cell>
          <cell r="BB29">
            <v>-19137.642580682419</v>
          </cell>
          <cell r="BC29">
            <v>-13745.714445113841</v>
          </cell>
          <cell r="BE29">
            <v>-6818.2478717783861</v>
          </cell>
          <cell r="BF29">
            <v>-10914.72155944734</v>
          </cell>
          <cell r="BG29">
            <v>-9664.5264806450596</v>
          </cell>
          <cell r="BH29">
            <v>-6865.4796887680095</v>
          </cell>
          <cell r="BI29">
            <v>-15743.356522168993</v>
          </cell>
          <cell r="BJ29">
            <v>-11305.844223635002</v>
          </cell>
          <cell r="BK29">
            <v>-9473.1161000373577</v>
          </cell>
          <cell r="BL29">
            <v>-6880.2347563458306</v>
          </cell>
          <cell r="BM29">
            <v>0</v>
          </cell>
          <cell r="BN29">
            <v>0</v>
          </cell>
          <cell r="BO29">
            <v>0</v>
          </cell>
          <cell r="BP29">
            <v>0</v>
          </cell>
          <cell r="BQ29">
            <v>0</v>
          </cell>
          <cell r="BR29">
            <v>0</v>
          </cell>
          <cell r="BS29">
            <v>0</v>
          </cell>
          <cell r="BT29">
            <v>0</v>
          </cell>
        </row>
        <row r="30">
          <cell r="C30">
            <v>-43.301089999999995</v>
          </cell>
          <cell r="D30">
            <v>-44.100070000000002</v>
          </cell>
          <cell r="E30">
            <v>0</v>
          </cell>
          <cell r="F30">
            <v>0</v>
          </cell>
          <cell r="G30">
            <v>-43.583849999999998</v>
          </cell>
          <cell r="H30">
            <v>-45.855830000000005</v>
          </cell>
          <cell r="I30">
            <v>0</v>
          </cell>
          <cell r="J30">
            <v>0</v>
          </cell>
          <cell r="K30">
            <v>-42.752780000000001</v>
          </cell>
          <cell r="L30">
            <v>-47.28237</v>
          </cell>
          <cell r="M30">
            <v>0</v>
          </cell>
          <cell r="N30">
            <v>0</v>
          </cell>
          <cell r="O30">
            <v>-43.011220000000002</v>
          </cell>
          <cell r="P30">
            <v>-54.388089999999998</v>
          </cell>
          <cell r="Q30">
            <v>0</v>
          </cell>
          <cell r="R30">
            <v>0</v>
          </cell>
          <cell r="S30">
            <v>-43.160809999999998</v>
          </cell>
          <cell r="T30">
            <v>-48.087730000000001</v>
          </cell>
          <cell r="U30">
            <v>0</v>
          </cell>
          <cell r="V30">
            <v>0</v>
          </cell>
          <cell r="W30">
            <v>-26.141449999999999</v>
          </cell>
          <cell r="X30">
            <v>-48.581160000000004</v>
          </cell>
          <cell r="Y30">
            <v>0</v>
          </cell>
          <cell r="Z30">
            <v>0</v>
          </cell>
          <cell r="AD30">
            <v>0</v>
          </cell>
          <cell r="AH30">
            <v>0</v>
          </cell>
          <cell r="AL30">
            <v>0</v>
          </cell>
          <cell r="AP30">
            <v>0</v>
          </cell>
          <cell r="AT30">
            <v>0</v>
          </cell>
          <cell r="AX30">
            <v>0</v>
          </cell>
          <cell r="AZ30">
            <v>-241.9512</v>
          </cell>
          <cell r="BA30">
            <v>-288.29525000000001</v>
          </cell>
          <cell r="BB30">
            <v>0</v>
          </cell>
          <cell r="BC30">
            <v>0</v>
          </cell>
          <cell r="BE30">
            <v>-129.63772</v>
          </cell>
          <cell r="BF30">
            <v>-137.23827</v>
          </cell>
          <cell r="BG30">
            <v>0</v>
          </cell>
          <cell r="BH30">
            <v>0</v>
          </cell>
          <cell r="BI30">
            <v>-112.31348</v>
          </cell>
          <cell r="BJ30">
            <v>-151.05698000000001</v>
          </cell>
          <cell r="BK30">
            <v>0</v>
          </cell>
          <cell r="BL30">
            <v>0</v>
          </cell>
          <cell r="BM30">
            <v>0</v>
          </cell>
          <cell r="BN30">
            <v>0</v>
          </cell>
          <cell r="BO30">
            <v>0</v>
          </cell>
          <cell r="BP30">
            <v>0</v>
          </cell>
          <cell r="BQ30">
            <v>0</v>
          </cell>
          <cell r="BR30">
            <v>0</v>
          </cell>
          <cell r="BS30">
            <v>0</v>
          </cell>
          <cell r="BT30">
            <v>0</v>
          </cell>
        </row>
        <row r="31">
          <cell r="C31">
            <v>-428172.94465999998</v>
          </cell>
          <cell r="D31">
            <v>-380798.72500999999</v>
          </cell>
          <cell r="E31">
            <v>-272920.43345111504</v>
          </cell>
          <cell r="F31">
            <v>-167485.86566704939</v>
          </cell>
          <cell r="G31">
            <v>-399005.22842</v>
          </cell>
          <cell r="H31">
            <v>-329275.74792999995</v>
          </cell>
          <cell r="I31">
            <v>-229873.89271698799</v>
          </cell>
          <cell r="J31">
            <v>-141943.09616204369</v>
          </cell>
          <cell r="K31">
            <v>-417976.55962000001</v>
          </cell>
          <cell r="L31">
            <v>-370109.81823999999</v>
          </cell>
          <cell r="M31">
            <v>-241270.11382170999</v>
          </cell>
          <cell r="N31">
            <v>-152004.029698509</v>
          </cell>
          <cell r="O31">
            <v>-367567.64459000004</v>
          </cell>
          <cell r="P31">
            <v>-348145.41155000002</v>
          </cell>
          <cell r="Q31">
            <v>-215635.50597258899</v>
          </cell>
          <cell r="R31">
            <v>-144310.52656074899</v>
          </cell>
          <cell r="S31">
            <v>-342332.49484000006</v>
          </cell>
          <cell r="T31">
            <v>-347977.71658000007</v>
          </cell>
          <cell r="U31">
            <v>-232667.89257589</v>
          </cell>
          <cell r="V31">
            <v>-152675.94295219201</v>
          </cell>
          <cell r="W31">
            <v>-317696.15294999996</v>
          </cell>
          <cell r="X31">
            <v>-330977.22516000003</v>
          </cell>
          <cell r="Y31">
            <v>-226668.801590224</v>
          </cell>
          <cell r="Z31">
            <v>-171017.20148807601</v>
          </cell>
          <cell r="AD31">
            <v>0</v>
          </cell>
          <cell r="AH31">
            <v>0</v>
          </cell>
          <cell r="AL31">
            <v>0</v>
          </cell>
          <cell r="AP31">
            <v>0</v>
          </cell>
          <cell r="AT31">
            <v>0</v>
          </cell>
          <cell r="AX31">
            <v>0</v>
          </cell>
          <cell r="AZ31">
            <v>-2272751.0250800001</v>
          </cell>
          <cell r="BA31">
            <v>-2107284.6444700002</v>
          </cell>
          <cell r="BB31">
            <v>-1419036.6401285161</v>
          </cell>
          <cell r="BC31">
            <v>-929436.66252861905</v>
          </cell>
          <cell r="BE31">
            <v>-1245154.7327000001</v>
          </cell>
          <cell r="BF31">
            <v>-1080184.2911799999</v>
          </cell>
          <cell r="BG31">
            <v>-744064.43998981302</v>
          </cell>
          <cell r="BH31">
            <v>-461432.99152760208</v>
          </cell>
          <cell r="BI31">
            <v>-1027596.29238</v>
          </cell>
          <cell r="BJ31">
            <v>-1027100.3532900001</v>
          </cell>
          <cell r="BK31">
            <v>-674972.20013870299</v>
          </cell>
          <cell r="BL31">
            <v>-468003.67100101698</v>
          </cell>
          <cell r="BM31">
            <v>0</v>
          </cell>
          <cell r="BN31">
            <v>0</v>
          </cell>
          <cell r="BO31">
            <v>0</v>
          </cell>
          <cell r="BP31">
            <v>0</v>
          </cell>
          <cell r="BQ31">
            <v>0</v>
          </cell>
          <cell r="BR31">
            <v>0</v>
          </cell>
          <cell r="BS31">
            <v>0</v>
          </cell>
          <cell r="BT31">
            <v>0</v>
          </cell>
        </row>
        <row r="32">
          <cell r="C32">
            <v>-426012.93465999997</v>
          </cell>
          <cell r="D32">
            <v>-381024.08864999999</v>
          </cell>
          <cell r="E32">
            <v>-234667.49255111499</v>
          </cell>
          <cell r="F32">
            <v>-155999.93166704942</v>
          </cell>
          <cell r="G32">
            <v>-396979.25242000003</v>
          </cell>
          <cell r="H32">
            <v>-330564.79220999999</v>
          </cell>
          <cell r="I32">
            <v>-198950.98381698798</v>
          </cell>
          <cell r="J32">
            <v>-131633.0921620437</v>
          </cell>
          <cell r="K32">
            <v>-416065.51462000003</v>
          </cell>
          <cell r="L32">
            <v>-369120.59705000004</v>
          </cell>
          <cell r="M32">
            <v>-206966.28652171002</v>
          </cell>
          <cell r="N32">
            <v>-145045.05169850902</v>
          </cell>
          <cell r="O32">
            <v>-367106.84459000005</v>
          </cell>
          <cell r="P32">
            <v>-347999.24054999999</v>
          </cell>
          <cell r="Q32">
            <v>-201980.21837258901</v>
          </cell>
          <cell r="R32">
            <v>-142909.30116074899</v>
          </cell>
          <cell r="S32">
            <v>-341871.69484000001</v>
          </cell>
          <cell r="T32">
            <v>-347171.14158000005</v>
          </cell>
          <cell r="U32">
            <v>-221492.98242588999</v>
          </cell>
          <cell r="V32">
            <v>-152175.26955219201</v>
          </cell>
          <cell r="W32">
            <v>-319171.30285000004</v>
          </cell>
          <cell r="X32">
            <v>-330751.95616</v>
          </cell>
          <cell r="Y32">
            <v>-211255.14704022399</v>
          </cell>
          <cell r="Z32">
            <v>-170393.301088076</v>
          </cell>
          <cell r="AD32">
            <v>0</v>
          </cell>
          <cell r="AH32">
            <v>0</v>
          </cell>
          <cell r="AL32">
            <v>0</v>
          </cell>
          <cell r="AP32">
            <v>0</v>
          </cell>
          <cell r="AT32">
            <v>0</v>
          </cell>
          <cell r="AX32">
            <v>0</v>
          </cell>
          <cell r="AZ32">
            <v>-2267207.5439800001</v>
          </cell>
          <cell r="BA32">
            <v>-2106631.8161999998</v>
          </cell>
          <cell r="BB32">
            <v>-1275313.1107285158</v>
          </cell>
          <cell r="BC32">
            <v>-898155.94732861908</v>
          </cell>
          <cell r="BE32">
            <v>-1239057.7017000001</v>
          </cell>
          <cell r="BF32">
            <v>-1080709.4779099999</v>
          </cell>
          <cell r="BG32">
            <v>-640584.76288981293</v>
          </cell>
          <cell r="BH32">
            <v>-432678.07552760211</v>
          </cell>
          <cell r="BI32">
            <v>-1028149.8422800002</v>
          </cell>
          <cell r="BJ32">
            <v>-1025922.3382900001</v>
          </cell>
          <cell r="BK32">
            <v>-634728.34783870308</v>
          </cell>
          <cell r="BL32">
            <v>-465477.87180101697</v>
          </cell>
          <cell r="BM32">
            <v>0</v>
          </cell>
          <cell r="BN32">
            <v>0</v>
          </cell>
          <cell r="BO32">
            <v>0</v>
          </cell>
          <cell r="BP32">
            <v>0</v>
          </cell>
          <cell r="BQ32">
            <v>0</v>
          </cell>
          <cell r="BR32">
            <v>0</v>
          </cell>
          <cell r="BS32">
            <v>0</v>
          </cell>
          <cell r="BT32">
            <v>0</v>
          </cell>
        </row>
        <row r="33">
          <cell r="C33">
            <v>-2160.0100000000002</v>
          </cell>
          <cell r="D33">
            <v>225.36364</v>
          </cell>
          <cell r="E33">
            <v>-38252.940900000001</v>
          </cell>
          <cell r="F33">
            <v>-11485.933999999999</v>
          </cell>
          <cell r="G33">
            <v>-2025.9760000000001</v>
          </cell>
          <cell r="H33">
            <v>1289.0442800000001</v>
          </cell>
          <cell r="I33">
            <v>-30922.908899999999</v>
          </cell>
          <cell r="J33">
            <v>-10310.004000000001</v>
          </cell>
          <cell r="K33">
            <v>-1911.0450000000001</v>
          </cell>
          <cell r="L33">
            <v>-989.22118999999998</v>
          </cell>
          <cell r="M33">
            <v>-34303.827299999997</v>
          </cell>
          <cell r="N33">
            <v>-6958.9780000000001</v>
          </cell>
          <cell r="O33">
            <v>-460.8</v>
          </cell>
          <cell r="P33">
            <v>-146.17099999999999</v>
          </cell>
          <cell r="Q33">
            <v>-13655.2876</v>
          </cell>
          <cell r="R33">
            <v>-1401.2253999999998</v>
          </cell>
          <cell r="S33">
            <v>-460.8</v>
          </cell>
          <cell r="T33">
            <v>-806.57500000000005</v>
          </cell>
          <cell r="U33">
            <v>-11174.91015</v>
          </cell>
          <cell r="V33">
            <v>-500.67340000000002</v>
          </cell>
          <cell r="W33">
            <v>1475.1498999999999</v>
          </cell>
          <cell r="X33">
            <v>-225.26900000000001</v>
          </cell>
          <cell r="Y33">
            <v>-15413.654550000001</v>
          </cell>
          <cell r="Z33">
            <v>-623.90039999999999</v>
          </cell>
          <cell r="AD33">
            <v>0</v>
          </cell>
          <cell r="AH33">
            <v>0</v>
          </cell>
          <cell r="AL33">
            <v>0</v>
          </cell>
          <cell r="AP33">
            <v>0</v>
          </cell>
          <cell r="AT33">
            <v>0</v>
          </cell>
          <cell r="AX33">
            <v>0</v>
          </cell>
          <cell r="AZ33">
            <v>-5543.4811000000009</v>
          </cell>
          <cell r="BA33">
            <v>-652.82826999999997</v>
          </cell>
          <cell r="BB33">
            <v>-143723.5294</v>
          </cell>
          <cell r="BC33">
            <v>-31280.715199999999</v>
          </cell>
          <cell r="BE33">
            <v>-6097.0310000000009</v>
          </cell>
          <cell r="BF33">
            <v>525.18673000000013</v>
          </cell>
          <cell r="BG33">
            <v>-103479.6771</v>
          </cell>
          <cell r="BH33">
            <v>-28754.916000000001</v>
          </cell>
          <cell r="BI33">
            <v>553.54989999999987</v>
          </cell>
          <cell r="BJ33">
            <v>-1178.0150000000001</v>
          </cell>
          <cell r="BK33">
            <v>-40243.852299999999</v>
          </cell>
          <cell r="BL33">
            <v>-2525.7991999999999</v>
          </cell>
          <cell r="BM33">
            <v>0</v>
          </cell>
          <cell r="BN33">
            <v>0</v>
          </cell>
          <cell r="BO33">
            <v>0</v>
          </cell>
          <cell r="BP33">
            <v>0</v>
          </cell>
          <cell r="BQ33">
            <v>0</v>
          </cell>
          <cell r="BR33">
            <v>0</v>
          </cell>
          <cell r="BS33">
            <v>0</v>
          </cell>
          <cell r="BT33">
            <v>0</v>
          </cell>
        </row>
        <row r="34">
          <cell r="C34">
            <v>-30418.611510000002</v>
          </cell>
          <cell r="D34">
            <v>-37341.302530000001</v>
          </cell>
          <cell r="E34">
            <v>-29437.642036622299</v>
          </cell>
          <cell r="F34">
            <v>-21564.577945807072</v>
          </cell>
          <cell r="G34">
            <v>-22909.435969999999</v>
          </cell>
          <cell r="H34">
            <v>-32068.988429999998</v>
          </cell>
          <cell r="I34">
            <v>-27357.838106509069</v>
          </cell>
          <cell r="J34">
            <v>-23875.446047803231</v>
          </cell>
          <cell r="K34">
            <v>-36860.774339999996</v>
          </cell>
          <cell r="L34">
            <v>-36129.996500000001</v>
          </cell>
          <cell r="M34">
            <v>-25767.998192401068</v>
          </cell>
          <cell r="N34">
            <v>-21188.670920004941</v>
          </cell>
          <cell r="O34">
            <v>-30721.542860000001</v>
          </cell>
          <cell r="P34">
            <v>-34314.636180000001</v>
          </cell>
          <cell r="Q34">
            <v>-24666.542192828623</v>
          </cell>
          <cell r="R34">
            <v>-20327.447262248337</v>
          </cell>
          <cell r="S34">
            <v>-27431.594560000009</v>
          </cell>
          <cell r="T34">
            <v>-35973.041609999993</v>
          </cell>
          <cell r="U34">
            <v>-26697.302168163049</v>
          </cell>
          <cell r="V34">
            <v>-20748.309784800611</v>
          </cell>
          <cell r="W34">
            <v>-31090.949059999999</v>
          </cell>
          <cell r="X34">
            <v>-32803.33655</v>
          </cell>
          <cell r="Y34">
            <v>-20155.807562145688</v>
          </cell>
          <cell r="Z34">
            <v>-19481.06524105306</v>
          </cell>
          <cell r="AD34">
            <v>0</v>
          </cell>
          <cell r="AH34">
            <v>0</v>
          </cell>
          <cell r="AL34">
            <v>0</v>
          </cell>
          <cell r="AP34">
            <v>0</v>
          </cell>
          <cell r="AT34">
            <v>0</v>
          </cell>
          <cell r="AX34">
            <v>0</v>
          </cell>
          <cell r="AZ34">
            <v>-179432.90830000001</v>
          </cell>
          <cell r="BA34">
            <v>-208631.30180000002</v>
          </cell>
          <cell r="BB34">
            <v>-154083.13025866979</v>
          </cell>
          <cell r="BC34">
            <v>-127185.51720171726</v>
          </cell>
          <cell r="BE34">
            <v>-90188.821820000012</v>
          </cell>
          <cell r="BF34">
            <v>-105540.28745999999</v>
          </cell>
          <cell r="BG34">
            <v>-82563.478335532433</v>
          </cell>
          <cell r="BH34">
            <v>-66628.69491361524</v>
          </cell>
          <cell r="BI34">
            <v>-89244.086479999998</v>
          </cell>
          <cell r="BJ34">
            <v>-103091.01434000001</v>
          </cell>
          <cell r="BK34">
            <v>-71519.651923137368</v>
          </cell>
          <cell r="BL34">
            <v>-60556.822288102005</v>
          </cell>
          <cell r="BM34">
            <v>0</v>
          </cell>
          <cell r="BN34">
            <v>0</v>
          </cell>
          <cell r="BO34">
            <v>0</v>
          </cell>
          <cell r="BP34">
            <v>0</v>
          </cell>
          <cell r="BQ34">
            <v>0</v>
          </cell>
          <cell r="BR34">
            <v>0</v>
          </cell>
          <cell r="BS34">
            <v>0</v>
          </cell>
          <cell r="BT34">
            <v>0</v>
          </cell>
        </row>
        <row r="35">
          <cell r="C35">
            <v>-26367.027040000001</v>
          </cell>
          <cell r="D35">
            <v>-33154.602729999999</v>
          </cell>
          <cell r="E35">
            <v>-25212.259377987899</v>
          </cell>
          <cell r="F35">
            <v>-19032.344368070681</v>
          </cell>
          <cell r="G35">
            <v>-18683.106259999997</v>
          </cell>
          <cell r="H35">
            <v>-28077.675869999999</v>
          </cell>
          <cell r="I35">
            <v>-23274.423093388599</v>
          </cell>
          <cell r="J35">
            <v>-21320.044254515877</v>
          </cell>
          <cell r="K35">
            <v>-33625.859969999998</v>
          </cell>
          <cell r="L35">
            <v>-31879.276289999998</v>
          </cell>
          <cell r="M35">
            <v>-21369.9395161701</v>
          </cell>
          <cell r="N35">
            <v>-18697.4366655905</v>
          </cell>
          <cell r="O35">
            <v>-26344.649550000002</v>
          </cell>
          <cell r="P35">
            <v>-30444.017880000003</v>
          </cell>
          <cell r="Q35">
            <v>-20311.114997154702</v>
          </cell>
          <cell r="R35">
            <v>-17967.220464420097</v>
          </cell>
          <cell r="S35">
            <v>-23145.847330000008</v>
          </cell>
          <cell r="T35">
            <v>-31625.109019999996</v>
          </cell>
          <cell r="U35">
            <v>-22730.873485400098</v>
          </cell>
          <cell r="V35">
            <v>-18647.6780227251</v>
          </cell>
          <cell r="W35">
            <v>-28221.22321</v>
          </cell>
          <cell r="X35">
            <v>-32116.145639999999</v>
          </cell>
          <cell r="Y35">
            <v>-17148.3701596834</v>
          </cell>
          <cell r="Z35">
            <v>-17393.1533430895</v>
          </cell>
          <cell r="AD35">
            <v>0</v>
          </cell>
          <cell r="AH35">
            <v>0</v>
          </cell>
          <cell r="AL35">
            <v>0</v>
          </cell>
          <cell r="AP35">
            <v>0</v>
          </cell>
          <cell r="AT35">
            <v>0</v>
          </cell>
          <cell r="AX35">
            <v>0</v>
          </cell>
          <cell r="AZ35">
            <v>-156387.71336000002</v>
          </cell>
          <cell r="BA35">
            <v>-187296.82743</v>
          </cell>
          <cell r="BB35">
            <v>-130046.98062978478</v>
          </cell>
          <cell r="BC35">
            <v>-113057.87711841176</v>
          </cell>
          <cell r="BE35">
            <v>-78675.993270000006</v>
          </cell>
          <cell r="BF35">
            <v>-93111.554889999999</v>
          </cell>
          <cell r="BG35">
            <v>-69856.62198754659</v>
          </cell>
          <cell r="BH35">
            <v>-59049.82528817706</v>
          </cell>
          <cell r="BI35">
            <v>-77711.720090000003</v>
          </cell>
          <cell r="BJ35">
            <v>-94185.272540000005</v>
          </cell>
          <cell r="BK35">
            <v>-60190.3586422382</v>
          </cell>
          <cell r="BL35">
            <v>-54008.051830234697</v>
          </cell>
          <cell r="BM35">
            <v>0</v>
          </cell>
          <cell r="BN35">
            <v>0</v>
          </cell>
          <cell r="BO35">
            <v>0</v>
          </cell>
          <cell r="BP35">
            <v>0</v>
          </cell>
          <cell r="BQ35">
            <v>0</v>
          </cell>
          <cell r="BR35">
            <v>0</v>
          </cell>
          <cell r="BS35">
            <v>0</v>
          </cell>
          <cell r="BT35">
            <v>0</v>
          </cell>
        </row>
        <row r="36">
          <cell r="C36">
            <v>-4051.5844699999998</v>
          </cell>
          <cell r="D36">
            <v>-4186.6998000000003</v>
          </cell>
          <cell r="E36">
            <v>-4225.3826586344003</v>
          </cell>
          <cell r="F36">
            <v>-2532.2335777363919</v>
          </cell>
          <cell r="G36">
            <v>-4226.32971</v>
          </cell>
          <cell r="H36">
            <v>-3991.3125599999998</v>
          </cell>
          <cell r="I36">
            <v>-4083.4150131204701</v>
          </cell>
          <cell r="J36">
            <v>-2555.4017932873535</v>
          </cell>
          <cell r="K36">
            <v>-3234.91437</v>
          </cell>
          <cell r="L36">
            <v>-4250.7202100000004</v>
          </cell>
          <cell r="M36">
            <v>-4398.0586762309695</v>
          </cell>
          <cell r="N36">
            <v>-2491.2342544144403</v>
          </cell>
          <cell r="O36">
            <v>-4376.8933099999995</v>
          </cell>
          <cell r="P36">
            <v>-3870.6182999999996</v>
          </cell>
          <cell r="Q36">
            <v>-4355.4271956739203</v>
          </cell>
          <cell r="R36">
            <v>-2360.2267978282398</v>
          </cell>
          <cell r="S36">
            <v>-4285.7472300000009</v>
          </cell>
          <cell r="T36">
            <v>-4347.9325899999994</v>
          </cell>
          <cell r="U36">
            <v>-3966.4286827629503</v>
          </cell>
          <cell r="V36">
            <v>-2100.6317620755099</v>
          </cell>
          <cell r="W36">
            <v>-2869.7258500000003</v>
          </cell>
          <cell r="X36">
            <v>-687.19091000000003</v>
          </cell>
          <cell r="Y36">
            <v>-3007.4374024622903</v>
          </cell>
          <cell r="Z36">
            <v>-2087.91189796356</v>
          </cell>
          <cell r="AD36">
            <v>0</v>
          </cell>
          <cell r="AH36">
            <v>0</v>
          </cell>
          <cell r="AL36">
            <v>0</v>
          </cell>
          <cell r="AP36">
            <v>0</v>
          </cell>
          <cell r="AT36">
            <v>0</v>
          </cell>
          <cell r="AX36">
            <v>0</v>
          </cell>
          <cell r="AZ36">
            <v>-23045.194939999998</v>
          </cell>
          <cell r="BA36">
            <v>-21334.47437</v>
          </cell>
          <cell r="BB36">
            <v>-24036.149628885003</v>
          </cell>
          <cell r="BC36">
            <v>-14127.640083305498</v>
          </cell>
          <cell r="BE36">
            <v>-11512.82855</v>
          </cell>
          <cell r="BF36">
            <v>-12428.73257</v>
          </cell>
          <cell r="BG36">
            <v>-12706.856347985839</v>
          </cell>
          <cell r="BH36">
            <v>-7578.8696254381857</v>
          </cell>
          <cell r="BI36">
            <v>-11532.366390000001</v>
          </cell>
          <cell r="BJ36">
            <v>-8905.741799999998</v>
          </cell>
          <cell r="BK36">
            <v>-11329.293280899161</v>
          </cell>
          <cell r="BL36">
            <v>-6548.7704578673092</v>
          </cell>
          <cell r="BM36">
            <v>0</v>
          </cell>
          <cell r="BN36">
            <v>0</v>
          </cell>
          <cell r="BO36">
            <v>0</v>
          </cell>
          <cell r="BP36">
            <v>0</v>
          </cell>
          <cell r="BQ36">
            <v>0</v>
          </cell>
          <cell r="BR36">
            <v>0</v>
          </cell>
          <cell r="BS36">
            <v>0</v>
          </cell>
          <cell r="BT36">
            <v>0</v>
          </cell>
        </row>
        <row r="37">
          <cell r="C37">
            <v>-99927.797501199966</v>
          </cell>
          <cell r="D37">
            <v>-80632.770369053542</v>
          </cell>
          <cell r="E37">
            <v>-82866.020130184377</v>
          </cell>
          <cell r="F37">
            <v>-80036.498483980948</v>
          </cell>
          <cell r="G37">
            <v>-94790.883499999996</v>
          </cell>
          <cell r="H37">
            <v>-83702.449088582536</v>
          </cell>
          <cell r="I37">
            <v>-82270.526989466787</v>
          </cell>
          <cell r="J37">
            <v>-75947.240634818518</v>
          </cell>
          <cell r="K37">
            <v>-96174.020369999984</v>
          </cell>
          <cell r="L37">
            <v>-81254.469359982599</v>
          </cell>
          <cell r="M37">
            <v>-72311.0312857635</v>
          </cell>
          <cell r="N37">
            <v>-83467.508083688284</v>
          </cell>
          <cell r="O37">
            <v>-93631.202992200124</v>
          </cell>
          <cell r="P37">
            <v>-80841.302422465684</v>
          </cell>
          <cell r="Q37">
            <v>-80413.55844852078</v>
          </cell>
          <cell r="R37">
            <v>-82399.181875381691</v>
          </cell>
          <cell r="S37">
            <v>-87532.83399479989</v>
          </cell>
          <cell r="T37">
            <v>-82930.791381917486</v>
          </cell>
          <cell r="U37">
            <v>-77326.581740599475</v>
          </cell>
          <cell r="V37">
            <v>-61994.323312991197</v>
          </cell>
          <cell r="W37">
            <v>-69779.772664199802</v>
          </cell>
          <cell r="X37">
            <v>-83667.817515589501</v>
          </cell>
          <cell r="Y37">
            <v>-77345.912765552872</v>
          </cell>
          <cell r="Z37">
            <v>-86312.633271894869</v>
          </cell>
          <cell r="AD37">
            <v>0</v>
          </cell>
          <cell r="AH37">
            <v>0</v>
          </cell>
          <cell r="AL37">
            <v>0</v>
          </cell>
          <cell r="AP37">
            <v>0</v>
          </cell>
          <cell r="AT37">
            <v>0</v>
          </cell>
          <cell r="AX37">
            <v>0</v>
          </cell>
          <cell r="AZ37">
            <v>-541836.51102239976</v>
          </cell>
          <cell r="BA37">
            <v>-493029.60013759136</v>
          </cell>
          <cell r="BB37">
            <v>-472533.63136008778</v>
          </cell>
          <cell r="BC37">
            <v>-470157.38566275546</v>
          </cell>
          <cell r="BE37">
            <v>-290892.70137119992</v>
          </cell>
          <cell r="BF37">
            <v>-245589.68881761865</v>
          </cell>
          <cell r="BG37">
            <v>-237447.57840541465</v>
          </cell>
          <cell r="BH37">
            <v>-239451.24720248772</v>
          </cell>
          <cell r="BI37">
            <v>-250943.80965119984</v>
          </cell>
          <cell r="BJ37">
            <v>-247439.91131997269</v>
          </cell>
          <cell r="BK37">
            <v>-235086.05295467313</v>
          </cell>
          <cell r="BL37">
            <v>-230706.13846026774</v>
          </cell>
          <cell r="BM37">
            <v>0</v>
          </cell>
          <cell r="BN37">
            <v>0</v>
          </cell>
          <cell r="BO37">
            <v>0</v>
          </cell>
          <cell r="BP37">
            <v>0</v>
          </cell>
          <cell r="BQ37">
            <v>0</v>
          </cell>
          <cell r="BR37">
            <v>0</v>
          </cell>
          <cell r="BS37">
            <v>0</v>
          </cell>
          <cell r="BT37">
            <v>0</v>
          </cell>
        </row>
        <row r="38">
          <cell r="C38">
            <v>-136267.0099156042</v>
          </cell>
          <cell r="D38">
            <v>-115885.41215174229</v>
          </cell>
          <cell r="E38">
            <v>-100302.30009800199</v>
          </cell>
          <cell r="F38">
            <v>-88277.051855286671</v>
          </cell>
          <cell r="G38">
            <v>-111691.87141875409</v>
          </cell>
          <cell r="H38">
            <v>-94710.415224715951</v>
          </cell>
          <cell r="I38">
            <v>-89037.072260798144</v>
          </cell>
          <cell r="J38">
            <v>-86120.708714367749</v>
          </cell>
          <cell r="K38">
            <v>-111105.35025173757</v>
          </cell>
          <cell r="L38">
            <v>-113475.28168692265</v>
          </cell>
          <cell r="M38">
            <v>-96565.681779262522</v>
          </cell>
          <cell r="N38">
            <v>-86653.544797142124</v>
          </cell>
          <cell r="O38">
            <v>-116546.48133550546</v>
          </cell>
          <cell r="P38">
            <v>-116437.40277811278</v>
          </cell>
          <cell r="Q38">
            <v>-91020.161404108163</v>
          </cell>
          <cell r="R38">
            <v>-89284.601360806191</v>
          </cell>
          <cell r="S38">
            <v>-114305.71049403198</v>
          </cell>
          <cell r="T38">
            <v>-111785.42862734024</v>
          </cell>
          <cell r="U38">
            <v>-95600.720590773679</v>
          </cell>
          <cell r="V38">
            <v>-84953.527685132809</v>
          </cell>
          <cell r="W38">
            <v>-108839.77734399107</v>
          </cell>
          <cell r="X38">
            <v>-110903.44473608311</v>
          </cell>
          <cell r="Y38">
            <v>-85857.25262248989</v>
          </cell>
          <cell r="Z38">
            <v>-86363.136622668797</v>
          </cell>
          <cell r="AD38">
            <v>0</v>
          </cell>
          <cell r="AH38">
            <v>0</v>
          </cell>
          <cell r="AL38">
            <v>0</v>
          </cell>
          <cell r="AP38">
            <v>0</v>
          </cell>
          <cell r="AT38">
            <v>0</v>
          </cell>
          <cell r="AX38">
            <v>0</v>
          </cell>
          <cell r="AZ38">
            <v>-698756.20075962436</v>
          </cell>
          <cell r="BA38">
            <v>-663197.38520491705</v>
          </cell>
          <cell r="BB38">
            <v>-558383.18875543447</v>
          </cell>
          <cell r="BC38">
            <v>-521652.5710354044</v>
          </cell>
          <cell r="BE38">
            <v>-359064.23158609588</v>
          </cell>
          <cell r="BF38">
            <v>-324071.10906338086</v>
          </cell>
          <cell r="BG38">
            <v>-285905.05413806264</v>
          </cell>
          <cell r="BH38">
            <v>-261051.30536679656</v>
          </cell>
          <cell r="BI38">
            <v>-339691.96917352849</v>
          </cell>
          <cell r="BJ38">
            <v>-339126.27614153613</v>
          </cell>
          <cell r="BK38">
            <v>-272478.13461737172</v>
          </cell>
          <cell r="BL38">
            <v>-260601.26566860784</v>
          </cell>
          <cell r="BM38">
            <v>0</v>
          </cell>
          <cell r="BN38">
            <v>0</v>
          </cell>
          <cell r="BO38">
            <v>0</v>
          </cell>
          <cell r="BP38">
            <v>0</v>
          </cell>
          <cell r="BQ38">
            <v>0</v>
          </cell>
          <cell r="BR38">
            <v>0</v>
          </cell>
          <cell r="BS38">
            <v>0</v>
          </cell>
          <cell r="BT38">
            <v>0</v>
          </cell>
        </row>
        <row r="39">
          <cell r="C39">
            <v>-69343.576050000003</v>
          </cell>
          <cell r="D39">
            <v>-60172.414699999994</v>
          </cell>
          <cell r="E39">
            <v>-57661.006572976301</v>
          </cell>
          <cell r="F39">
            <v>-53226.033104448346</v>
          </cell>
          <cell r="G39">
            <v>-59896.953819999893</v>
          </cell>
          <cell r="H39">
            <v>-53920.023670000002</v>
          </cell>
          <cell r="I39">
            <v>-48584.803867212198</v>
          </cell>
          <cell r="J39">
            <v>-49000.826982468752</v>
          </cell>
          <cell r="K39">
            <v>-59551.968139999997</v>
          </cell>
          <cell r="L39">
            <v>-56561.983719999997</v>
          </cell>
          <cell r="M39">
            <v>-52727.946780938604</v>
          </cell>
          <cell r="N39">
            <v>-48713.884459848799</v>
          </cell>
          <cell r="O39">
            <v>-59100.942729999995</v>
          </cell>
          <cell r="P39">
            <v>-58793.464399999903</v>
          </cell>
          <cell r="Q39">
            <v>-46277.680515647393</v>
          </cell>
          <cell r="R39">
            <v>-51218.535608282</v>
          </cell>
          <cell r="S39">
            <v>-56129.762790000095</v>
          </cell>
          <cell r="T39">
            <v>-56819.851329999998</v>
          </cell>
          <cell r="U39">
            <v>-50596.345010346005</v>
          </cell>
          <cell r="V39">
            <v>-49228.659633967101</v>
          </cell>
          <cell r="W39">
            <v>-51850.730430000003</v>
          </cell>
          <cell r="X39">
            <v>-53058.873659999997</v>
          </cell>
          <cell r="Y39">
            <v>-46008.881854531603</v>
          </cell>
          <cell r="Z39">
            <v>-48289.660217035504</v>
          </cell>
          <cell r="AD39">
            <v>0</v>
          </cell>
          <cell r="AH39">
            <v>0</v>
          </cell>
          <cell r="AL39">
            <v>0</v>
          </cell>
          <cell r="AP39">
            <v>0</v>
          </cell>
          <cell r="AT39">
            <v>0</v>
          </cell>
          <cell r="AX39">
            <v>0</v>
          </cell>
          <cell r="AZ39">
            <v>-355873.93395999994</v>
          </cell>
          <cell r="BA39">
            <v>-339326.61147999985</v>
          </cell>
          <cell r="BB39">
            <v>-301856.66460165213</v>
          </cell>
          <cell r="BC39">
            <v>-299677.60000605049</v>
          </cell>
          <cell r="BE39">
            <v>-188792.49800999989</v>
          </cell>
          <cell r="BF39">
            <v>-170654.42208999998</v>
          </cell>
          <cell r="BG39">
            <v>-158973.7572211271</v>
          </cell>
          <cell r="BH39">
            <v>-150940.7445467659</v>
          </cell>
          <cell r="BI39">
            <v>-167081.4359500001</v>
          </cell>
          <cell r="BJ39">
            <v>-168672.1893899999</v>
          </cell>
          <cell r="BK39">
            <v>-142882.90738052502</v>
          </cell>
          <cell r="BL39">
            <v>-148736.85545928462</v>
          </cell>
          <cell r="BM39">
            <v>0</v>
          </cell>
          <cell r="BN39">
            <v>0</v>
          </cell>
          <cell r="BO39">
            <v>0</v>
          </cell>
          <cell r="BP39">
            <v>0</v>
          </cell>
          <cell r="BQ39">
            <v>0</v>
          </cell>
          <cell r="BR39">
            <v>0</v>
          </cell>
          <cell r="BS39">
            <v>0</v>
          </cell>
          <cell r="BT39">
            <v>0</v>
          </cell>
        </row>
        <row r="40">
          <cell r="C40">
            <v>-53972.330195604191</v>
          </cell>
          <cell r="D40">
            <v>-38811.364581742302</v>
          </cell>
          <cell r="E40">
            <v>-29198.419977701567</v>
          </cell>
          <cell r="F40">
            <v>-27175.815231489054</v>
          </cell>
          <cell r="G40">
            <v>-39237.303458754192</v>
          </cell>
          <cell r="H40">
            <v>-27268.368304715939</v>
          </cell>
          <cell r="I40">
            <v>-28784.30999324776</v>
          </cell>
          <cell r="J40">
            <v>-29998.1747669164</v>
          </cell>
          <cell r="K40">
            <v>-37148.523591737576</v>
          </cell>
          <cell r="L40">
            <v>-39188.48750692264</v>
          </cell>
          <cell r="M40">
            <v>-33041.873044637498</v>
          </cell>
          <cell r="N40">
            <v>-30477.549762419647</v>
          </cell>
          <cell r="O40">
            <v>-41431.027885505486</v>
          </cell>
          <cell r="P40">
            <v>-40504.951008112868</v>
          </cell>
          <cell r="Q40">
            <v>-32929.635476505529</v>
          </cell>
          <cell r="R40">
            <v>-30849.354599203369</v>
          </cell>
          <cell r="S40">
            <v>-43026.907614031879</v>
          </cell>
          <cell r="T40">
            <v>-38129.777547340243</v>
          </cell>
          <cell r="U40">
            <v>-35886.450423529794</v>
          </cell>
          <cell r="V40">
            <v>-29347.767556199065</v>
          </cell>
          <cell r="W40">
            <v>-36892.623413991052</v>
          </cell>
          <cell r="X40">
            <v>-39178.480586083118</v>
          </cell>
          <cell r="Y40">
            <v>-30212.17796103131</v>
          </cell>
          <cell r="Z40">
            <v>-30560.157302473719</v>
          </cell>
          <cell r="AD40">
            <v>0</v>
          </cell>
          <cell r="AH40">
            <v>0</v>
          </cell>
          <cell r="AL40">
            <v>0</v>
          </cell>
          <cell r="AP40">
            <v>0</v>
          </cell>
          <cell r="AT40">
            <v>0</v>
          </cell>
          <cell r="AX40">
            <v>0</v>
          </cell>
          <cell r="AZ40">
            <v>-251708.7161596244</v>
          </cell>
          <cell r="BA40">
            <v>-223081.42953491709</v>
          </cell>
          <cell r="BB40">
            <v>-190052.86687665345</v>
          </cell>
          <cell r="BC40">
            <v>-178408.81921870128</v>
          </cell>
          <cell r="BE40">
            <v>-130358.15724609597</v>
          </cell>
          <cell r="BF40">
            <v>-105268.22039338088</v>
          </cell>
          <cell r="BG40">
            <v>-91024.603015586821</v>
          </cell>
          <cell r="BH40">
            <v>-87651.539760825093</v>
          </cell>
          <cell r="BI40">
            <v>-121350.55891352841</v>
          </cell>
          <cell r="BJ40">
            <v>-117813.20914153624</v>
          </cell>
          <cell r="BK40">
            <v>-99028.263861066633</v>
          </cell>
          <cell r="BL40">
            <v>-90757.279457876153</v>
          </cell>
          <cell r="BM40">
            <v>0</v>
          </cell>
          <cell r="BN40">
            <v>0</v>
          </cell>
          <cell r="BO40">
            <v>0</v>
          </cell>
          <cell r="BP40">
            <v>0</v>
          </cell>
          <cell r="BQ40">
            <v>0</v>
          </cell>
          <cell r="BR40">
            <v>0</v>
          </cell>
          <cell r="BS40">
            <v>0</v>
          </cell>
          <cell r="BT40">
            <v>0</v>
          </cell>
        </row>
        <row r="41">
          <cell r="C41">
            <v>-2814.92544</v>
          </cell>
          <cell r="D41">
            <v>-2677.2280300000002</v>
          </cell>
          <cell r="E41">
            <v>-2288.1335773241303</v>
          </cell>
          <cell r="F41">
            <v>-2245.5001893492858</v>
          </cell>
          <cell r="G41">
            <v>-2646.5056500000005</v>
          </cell>
          <cell r="H41">
            <v>-2354.4985999999999</v>
          </cell>
          <cell r="I41">
            <v>-2039.59189180522</v>
          </cell>
          <cell r="J41">
            <v>-2194.2946161716086</v>
          </cell>
          <cell r="K41">
            <v>-2865.2444299999997</v>
          </cell>
          <cell r="L41">
            <v>-2656.8147000000004</v>
          </cell>
          <cell r="M41">
            <v>-2002.1372092419399</v>
          </cell>
          <cell r="N41">
            <v>-2431.8419451329</v>
          </cell>
          <cell r="O41">
            <v>-2913.02351</v>
          </cell>
          <cell r="P41">
            <v>-2693.5718999999999</v>
          </cell>
          <cell r="Q41">
            <v>-2342.5161593022299</v>
          </cell>
          <cell r="R41">
            <v>-2431.1507255582001</v>
          </cell>
          <cell r="S41">
            <v>-2843.6499800000001</v>
          </cell>
          <cell r="T41">
            <v>-2803.9640899999999</v>
          </cell>
          <cell r="U41">
            <v>-2339.9853909860699</v>
          </cell>
          <cell r="V41">
            <v>-1907.1685733862998</v>
          </cell>
          <cell r="W41">
            <v>-2700.50693</v>
          </cell>
          <cell r="X41">
            <v>-2750.1210700000001</v>
          </cell>
          <cell r="Y41">
            <v>-2506.0349198398703</v>
          </cell>
          <cell r="Z41">
            <v>-2408.3057331595596</v>
          </cell>
          <cell r="AD41">
            <v>0</v>
          </cell>
          <cell r="AH41">
            <v>0</v>
          </cell>
          <cell r="AL41">
            <v>0</v>
          </cell>
          <cell r="AP41">
            <v>0</v>
          </cell>
          <cell r="AT41">
            <v>0</v>
          </cell>
          <cell r="AX41">
            <v>0</v>
          </cell>
          <cell r="AZ41">
            <v>-16783.855940000001</v>
          </cell>
          <cell r="BA41">
            <v>-15936.198389999998</v>
          </cell>
          <cell r="BB41">
            <v>-13518.39914849946</v>
          </cell>
          <cell r="BC41">
            <v>-13618.261782757852</v>
          </cell>
          <cell r="BE41">
            <v>-8326.6755200000007</v>
          </cell>
          <cell r="BF41">
            <v>-7688.54133</v>
          </cell>
          <cell r="BG41">
            <v>-6329.8626783712898</v>
          </cell>
          <cell r="BH41">
            <v>-6871.6367506537945</v>
          </cell>
          <cell r="BI41">
            <v>-8457.1804200000006</v>
          </cell>
          <cell r="BJ41">
            <v>-8247.6570600000014</v>
          </cell>
          <cell r="BK41">
            <v>-7188.5364701281705</v>
          </cell>
          <cell r="BL41">
            <v>-6746.6250321040588</v>
          </cell>
          <cell r="BM41">
            <v>0</v>
          </cell>
          <cell r="BN41">
            <v>0</v>
          </cell>
          <cell r="BO41">
            <v>0</v>
          </cell>
          <cell r="BP41">
            <v>0</v>
          </cell>
          <cell r="BQ41">
            <v>0</v>
          </cell>
          <cell r="BR41">
            <v>0</v>
          </cell>
          <cell r="BS41">
            <v>0</v>
          </cell>
          <cell r="BT41">
            <v>0</v>
          </cell>
        </row>
        <row r="42">
          <cell r="C42">
            <v>0</v>
          </cell>
          <cell r="D42">
            <v>0</v>
          </cell>
          <cell r="E42">
            <v>0</v>
          </cell>
          <cell r="F42">
            <v>0</v>
          </cell>
          <cell r="G42">
            <v>0</v>
          </cell>
          <cell r="H42">
            <v>0</v>
          </cell>
          <cell r="I42">
            <v>0.651322921</v>
          </cell>
          <cell r="J42">
            <v>-0.53261881100000008</v>
          </cell>
          <cell r="K42">
            <v>0</v>
          </cell>
          <cell r="L42">
            <v>0</v>
          </cell>
          <cell r="M42">
            <v>-1.8852806869000001</v>
          </cell>
          <cell r="N42">
            <v>-0.2620597408</v>
          </cell>
          <cell r="O42">
            <v>0</v>
          </cell>
          <cell r="P42">
            <v>0</v>
          </cell>
          <cell r="Q42">
            <v>0.32534734700000001</v>
          </cell>
          <cell r="R42">
            <v>-0.32927776260000002</v>
          </cell>
          <cell r="S42">
            <v>0</v>
          </cell>
          <cell r="T42">
            <v>0</v>
          </cell>
          <cell r="U42">
            <v>-0.87808591179999995</v>
          </cell>
          <cell r="V42">
            <v>-0.37596158029999999</v>
          </cell>
          <cell r="W42">
            <v>0</v>
          </cell>
          <cell r="X42">
            <v>0</v>
          </cell>
          <cell r="Y42">
            <v>-0.13484715289999999</v>
          </cell>
          <cell r="Z42">
            <v>0</v>
          </cell>
          <cell r="AD42">
            <v>0</v>
          </cell>
          <cell r="AH42">
            <v>0</v>
          </cell>
          <cell r="AL42">
            <v>0</v>
          </cell>
          <cell r="AP42">
            <v>0</v>
          </cell>
          <cell r="AT42">
            <v>0</v>
          </cell>
          <cell r="AX42">
            <v>0</v>
          </cell>
          <cell r="AZ42">
            <v>0</v>
          </cell>
          <cell r="BA42">
            <v>0</v>
          </cell>
          <cell r="BB42">
            <v>-1.9215434835999998</v>
          </cell>
          <cell r="BC42">
            <v>-1.4999178947000003</v>
          </cell>
          <cell r="BE42">
            <v>0</v>
          </cell>
          <cell r="BF42">
            <v>0</v>
          </cell>
          <cell r="BG42">
            <v>-1.2339577659000001</v>
          </cell>
          <cell r="BH42">
            <v>-0.79467855180000013</v>
          </cell>
          <cell r="BI42">
            <v>0</v>
          </cell>
          <cell r="BJ42">
            <v>0</v>
          </cell>
          <cell r="BK42">
            <v>-0.68758571769999999</v>
          </cell>
          <cell r="BL42">
            <v>-0.70523934290000001</v>
          </cell>
          <cell r="BM42">
            <v>0</v>
          </cell>
          <cell r="BN42">
            <v>0</v>
          </cell>
          <cell r="BO42">
            <v>0</v>
          </cell>
          <cell r="BP42">
            <v>0</v>
          </cell>
          <cell r="BQ42">
            <v>0</v>
          </cell>
          <cell r="BR42">
            <v>0</v>
          </cell>
          <cell r="BS42">
            <v>0</v>
          </cell>
          <cell r="BT42">
            <v>0</v>
          </cell>
        </row>
        <row r="43">
          <cell r="C43">
            <v>-10136.178230000001</v>
          </cell>
          <cell r="D43">
            <v>-14224.404839999997</v>
          </cell>
          <cell r="E43">
            <v>-11154.739970000001</v>
          </cell>
          <cell r="F43">
            <v>-5629.7033299999921</v>
          </cell>
          <cell r="G43">
            <v>-9911.1084900000005</v>
          </cell>
          <cell r="H43">
            <v>-11167.524650000003</v>
          </cell>
          <cell r="I43">
            <v>-9629.0178314539608</v>
          </cell>
          <cell r="J43">
            <v>-4926.8797299999887</v>
          </cell>
          <cell r="K43">
            <v>-11539.614089999999</v>
          </cell>
          <cell r="L43">
            <v>-15067.99576</v>
          </cell>
          <cell r="M43">
            <v>-8791.8394637576002</v>
          </cell>
          <cell r="N43">
            <v>-5030.0065699999795</v>
          </cell>
          <cell r="O43">
            <v>-13101.487209999999</v>
          </cell>
          <cell r="P43">
            <v>-14445.415470000004</v>
          </cell>
          <cell r="Q43">
            <v>-9470.6545999999998</v>
          </cell>
          <cell r="R43">
            <v>-4785.2311500000196</v>
          </cell>
          <cell r="S43">
            <v>-12305.390110000002</v>
          </cell>
          <cell r="T43">
            <v>-14031.835660000004</v>
          </cell>
          <cell r="U43">
            <v>-6777.0616800000098</v>
          </cell>
          <cell r="V43">
            <v>-4469.5559600000397</v>
          </cell>
          <cell r="W43">
            <v>-17395.916570000001</v>
          </cell>
          <cell r="X43">
            <v>-15915.969419999999</v>
          </cell>
          <cell r="Y43">
            <v>-7130.0230399341999</v>
          </cell>
          <cell r="Z43">
            <v>-5105.0133700000197</v>
          </cell>
          <cell r="AD43">
            <v>0</v>
          </cell>
          <cell r="AH43">
            <v>0</v>
          </cell>
          <cell r="AL43">
            <v>0</v>
          </cell>
          <cell r="AP43">
            <v>0</v>
          </cell>
          <cell r="AT43">
            <v>0</v>
          </cell>
          <cell r="AX43">
            <v>0</v>
          </cell>
          <cell r="AZ43">
            <v>-74389.694699999993</v>
          </cell>
          <cell r="BA43">
            <v>-84853.145800000013</v>
          </cell>
          <cell r="BB43">
            <v>-52953.336585145764</v>
          </cell>
          <cell r="BC43">
            <v>-29946.39011000004</v>
          </cell>
          <cell r="BE43">
            <v>-31586.900810000003</v>
          </cell>
          <cell r="BF43">
            <v>-40459.92525</v>
          </cell>
          <cell r="BG43">
            <v>-29575.59726521156</v>
          </cell>
          <cell r="BH43">
            <v>-15586.58962999996</v>
          </cell>
          <cell r="BI43">
            <v>-42802.793890000001</v>
          </cell>
          <cell r="BJ43">
            <v>-44393.220550000005</v>
          </cell>
          <cell r="BK43">
            <v>-23377.739319934211</v>
          </cell>
          <cell r="BL43">
            <v>-14359.800480000078</v>
          </cell>
          <cell r="BM43">
            <v>0</v>
          </cell>
          <cell r="BN43">
            <v>0</v>
          </cell>
          <cell r="BO43">
            <v>0</v>
          </cell>
          <cell r="BP43">
            <v>0</v>
          </cell>
          <cell r="BQ43">
            <v>0</v>
          </cell>
          <cell r="BR43">
            <v>0</v>
          </cell>
          <cell r="BS43">
            <v>0</v>
          </cell>
          <cell r="BT43">
            <v>0</v>
          </cell>
        </row>
        <row r="44">
          <cell r="C44">
            <v>-27931.741558732272</v>
          </cell>
          <cell r="D44">
            <v>-28099.671035872714</v>
          </cell>
          <cell r="E44">
            <v>-19236.270901696931</v>
          </cell>
          <cell r="F44">
            <v>-24654.693261113287</v>
          </cell>
          <cell r="G44">
            <v>-28793.013572632277</v>
          </cell>
          <cell r="H44">
            <v>-26963.895207801368</v>
          </cell>
          <cell r="I44">
            <v>-25490.230489079822</v>
          </cell>
          <cell r="J44">
            <v>-23456.152936099636</v>
          </cell>
          <cell r="K44">
            <v>-27793.812716138309</v>
          </cell>
          <cell r="L44">
            <v>-20753.775883309587</v>
          </cell>
          <cell r="M44">
            <v>-33035.054331707077</v>
          </cell>
          <cell r="N44">
            <v>-29341.289094405725</v>
          </cell>
          <cell r="O44">
            <v>-29835.776184807433</v>
          </cell>
          <cell r="P44">
            <v>-23327.358804645781</v>
          </cell>
          <cell r="Q44">
            <v>-24228.676372972761</v>
          </cell>
          <cell r="R44">
            <v>-19980.476087305382</v>
          </cell>
          <cell r="S44">
            <v>-30615.853763514468</v>
          </cell>
          <cell r="T44">
            <v>-25143.874751169154</v>
          </cell>
          <cell r="U44">
            <v>-20701.154506135692</v>
          </cell>
          <cell r="V44">
            <v>-23934.259942475572</v>
          </cell>
          <cell r="W44">
            <v>-25467.312374545669</v>
          </cell>
          <cell r="X44">
            <v>-24637.835375256451</v>
          </cell>
          <cell r="Y44">
            <v>-21826.84936741992</v>
          </cell>
          <cell r="Z44">
            <v>-18908.804866822997</v>
          </cell>
          <cell r="AD44">
            <v>0</v>
          </cell>
          <cell r="AH44">
            <v>0</v>
          </cell>
          <cell r="AL44">
            <v>0</v>
          </cell>
          <cell r="AP44">
            <v>0</v>
          </cell>
          <cell r="AT44">
            <v>0</v>
          </cell>
          <cell r="AX44">
            <v>0</v>
          </cell>
          <cell r="AZ44">
            <v>-170437.51017037043</v>
          </cell>
          <cell r="BA44">
            <v>-148926.41105805506</v>
          </cell>
          <cell r="BB44">
            <v>-144518.2359690122</v>
          </cell>
          <cell r="BC44">
            <v>-140275.6761882226</v>
          </cell>
          <cell r="BE44">
            <v>-84518.567847502854</v>
          </cell>
          <cell r="BF44">
            <v>-75817.342126983669</v>
          </cell>
          <cell r="BG44">
            <v>-77761.555722483841</v>
          </cell>
          <cell r="BH44">
            <v>-77452.135291618659</v>
          </cell>
          <cell r="BI44">
            <v>-85918.942322867573</v>
          </cell>
          <cell r="BJ44">
            <v>-73109.068931071379</v>
          </cell>
          <cell r="BK44">
            <v>-66756.680246528384</v>
          </cell>
          <cell r="BL44">
            <v>-62823.540896603947</v>
          </cell>
          <cell r="BM44">
            <v>0</v>
          </cell>
          <cell r="BN44">
            <v>0</v>
          </cell>
          <cell r="BO44">
            <v>0</v>
          </cell>
          <cell r="BP44">
            <v>0</v>
          </cell>
          <cell r="BQ44">
            <v>0</v>
          </cell>
          <cell r="BR44">
            <v>0</v>
          </cell>
          <cell r="BS44">
            <v>0</v>
          </cell>
          <cell r="BT44">
            <v>0</v>
          </cell>
        </row>
        <row r="45">
          <cell r="C45">
            <v>-23013.968078732272</v>
          </cell>
          <cell r="D45">
            <v>-22311.123195872715</v>
          </cell>
          <cell r="E45">
            <v>-14493.040097000481</v>
          </cell>
          <cell r="F45">
            <v>-20051.056540285368</v>
          </cell>
          <cell r="G45">
            <v>-23333.545892632275</v>
          </cell>
          <cell r="H45">
            <v>-21147.455117801368</v>
          </cell>
          <cell r="I45">
            <v>-21623.173053281851</v>
          </cell>
          <cell r="J45">
            <v>-18900.508530609048</v>
          </cell>
          <cell r="K45">
            <v>-22863.774136138309</v>
          </cell>
          <cell r="L45">
            <v>-15879.349473309585</v>
          </cell>
          <cell r="M45">
            <v>-28244.532123612309</v>
          </cell>
          <cell r="N45">
            <v>-23244.814265172226</v>
          </cell>
          <cell r="O45">
            <v>-24784.566504807433</v>
          </cell>
          <cell r="P45">
            <v>-18022.050564645779</v>
          </cell>
          <cell r="Q45">
            <v>-19570.965456139213</v>
          </cell>
          <cell r="R45">
            <v>-15480.124535924831</v>
          </cell>
          <cell r="S45">
            <v>-26143.93790351447</v>
          </cell>
          <cell r="T45">
            <v>-20240.541551169164</v>
          </cell>
          <cell r="U45">
            <v>-19920.81127810818</v>
          </cell>
          <cell r="V45">
            <v>-19925.055895379832</v>
          </cell>
          <cell r="W45">
            <v>-20707.879074545668</v>
          </cell>
          <cell r="X45">
            <v>-20150.025565256452</v>
          </cell>
          <cell r="Y45">
            <v>-19417.87833795273</v>
          </cell>
          <cell r="Z45">
            <v>-15018.574623292267</v>
          </cell>
          <cell r="AD45">
            <v>0</v>
          </cell>
          <cell r="AH45">
            <v>0</v>
          </cell>
          <cell r="AL45">
            <v>0</v>
          </cell>
          <cell r="AP45">
            <v>0</v>
          </cell>
          <cell r="AT45">
            <v>0</v>
          </cell>
          <cell r="AX45">
            <v>0</v>
          </cell>
          <cell r="AZ45">
            <v>-140847.67159037042</v>
          </cell>
          <cell r="BA45">
            <v>-117750.54546805506</v>
          </cell>
          <cell r="BB45">
            <v>-123270.40034609476</v>
          </cell>
          <cell r="BC45">
            <v>-112620.13439066357</v>
          </cell>
          <cell r="BE45">
            <v>-69211.288107502856</v>
          </cell>
          <cell r="BF45">
            <v>-59337.927786983666</v>
          </cell>
          <cell r="BG45">
            <v>-64360.745273894645</v>
          </cell>
          <cell r="BH45">
            <v>-62196.379336066646</v>
          </cell>
          <cell r="BI45">
            <v>-71636.383482867575</v>
          </cell>
          <cell r="BJ45">
            <v>-58412.617681071395</v>
          </cell>
          <cell r="BK45">
            <v>-58909.655072200127</v>
          </cell>
          <cell r="BL45">
            <v>-50423.755054596928</v>
          </cell>
          <cell r="BM45">
            <v>0</v>
          </cell>
          <cell r="BN45">
            <v>0</v>
          </cell>
          <cell r="BO45">
            <v>0</v>
          </cell>
          <cell r="BP45">
            <v>0</v>
          </cell>
          <cell r="BQ45">
            <v>0</v>
          </cell>
          <cell r="BR45">
            <v>0</v>
          </cell>
          <cell r="BS45">
            <v>0</v>
          </cell>
          <cell r="BT45">
            <v>0</v>
          </cell>
        </row>
        <row r="46">
          <cell r="C46">
            <v>-4917.7734800000007</v>
          </cell>
          <cell r="D46">
            <v>-5788.5478400000002</v>
          </cell>
          <cell r="E46">
            <v>-4743.2308046964499</v>
          </cell>
          <cell r="F46">
            <v>-4603.6367208279189</v>
          </cell>
          <cell r="G46">
            <v>-5459.4676799999997</v>
          </cell>
          <cell r="H46">
            <v>-5816.4400900000001</v>
          </cell>
          <cell r="I46">
            <v>-3867.0574357979699</v>
          </cell>
          <cell r="J46">
            <v>-4555.6444054905896</v>
          </cell>
          <cell r="K46">
            <v>-4930.0385800000004</v>
          </cell>
          <cell r="L46">
            <v>-4874.42641</v>
          </cell>
          <cell r="M46">
            <v>-4790.5222080947697</v>
          </cell>
          <cell r="N46">
            <v>-6096.4748292334998</v>
          </cell>
          <cell r="O46">
            <v>-5051.2096799999999</v>
          </cell>
          <cell r="P46">
            <v>-5305.3082400000003</v>
          </cell>
          <cell r="Q46">
            <v>-4657.7109168335501</v>
          </cell>
          <cell r="R46">
            <v>-4500.3515513805496</v>
          </cell>
          <cell r="S46">
            <v>-4471.9158599999992</v>
          </cell>
          <cell r="T46">
            <v>-4903.33319999999</v>
          </cell>
          <cell r="U46">
            <v>-780.34322802751194</v>
          </cell>
          <cell r="V46">
            <v>-4009.2040470957404</v>
          </cell>
          <cell r="W46">
            <v>-4759.4332999999997</v>
          </cell>
          <cell r="X46">
            <v>-4487.8098100000007</v>
          </cell>
          <cell r="Y46">
            <v>-2408.97102946719</v>
          </cell>
          <cell r="Z46">
            <v>-3890.2302435307297</v>
          </cell>
          <cell r="AD46">
            <v>0</v>
          </cell>
          <cell r="AH46">
            <v>0</v>
          </cell>
          <cell r="AL46">
            <v>0</v>
          </cell>
          <cell r="AP46">
            <v>0</v>
          </cell>
          <cell r="AT46">
            <v>0</v>
          </cell>
          <cell r="AX46">
            <v>0</v>
          </cell>
          <cell r="AZ46">
            <v>-29589.83858</v>
          </cell>
          <cell r="BA46">
            <v>-31175.865589999994</v>
          </cell>
          <cell r="BB46">
            <v>-21247.835622917442</v>
          </cell>
          <cell r="BC46">
            <v>-27655.541797559028</v>
          </cell>
          <cell r="BE46">
            <v>-15307.279740000002</v>
          </cell>
          <cell r="BF46">
            <v>-16479.414339999999</v>
          </cell>
          <cell r="BG46">
            <v>-13400.810448589189</v>
          </cell>
          <cell r="BH46">
            <v>-15255.755955552009</v>
          </cell>
          <cell r="BI46">
            <v>-14282.558839999998</v>
          </cell>
          <cell r="BJ46">
            <v>-14696.451249999991</v>
          </cell>
          <cell r="BK46">
            <v>-7847.0251743282515</v>
          </cell>
          <cell r="BL46">
            <v>-12399.785842007021</v>
          </cell>
          <cell r="BM46">
            <v>0</v>
          </cell>
          <cell r="BN46">
            <v>0</v>
          </cell>
          <cell r="BO46">
            <v>0</v>
          </cell>
          <cell r="BP46">
            <v>0</v>
          </cell>
          <cell r="BQ46">
            <v>0</v>
          </cell>
          <cell r="BR46">
            <v>0</v>
          </cell>
          <cell r="BS46">
            <v>0</v>
          </cell>
          <cell r="BT46">
            <v>0</v>
          </cell>
        </row>
        <row r="47">
          <cell r="C47">
            <v>-37581.382839999998</v>
          </cell>
          <cell r="D47">
            <v>-42924.319909999998</v>
          </cell>
          <cell r="E47">
            <v>-42760.3821886679</v>
          </cell>
          <cell r="F47">
            <v>-45076.199949827802</v>
          </cell>
          <cell r="G47">
            <v>-33692.496920000005</v>
          </cell>
          <cell r="H47">
            <v>-40701.534290000003</v>
          </cell>
          <cell r="I47">
            <v>-42034.368616249354</v>
          </cell>
          <cell r="J47">
            <v>-43856.810583305829</v>
          </cell>
          <cell r="K47">
            <v>-35226.281710000003</v>
          </cell>
          <cell r="L47">
            <v>-44242.415110000002</v>
          </cell>
          <cell r="M47">
            <v>-44103.84097053756</v>
          </cell>
          <cell r="N47">
            <v>-44669.848480359295</v>
          </cell>
          <cell r="O47">
            <v>-33497.656360000001</v>
          </cell>
          <cell r="P47">
            <v>-47201.377275899991</v>
          </cell>
          <cell r="Q47">
            <v>-43314.828488356245</v>
          </cell>
          <cell r="R47">
            <v>-46371.171058777159</v>
          </cell>
          <cell r="S47">
            <v>-34278.788289999997</v>
          </cell>
          <cell r="T47">
            <v>-43619.538495900008</v>
          </cell>
          <cell r="U47">
            <v>-42839.263106636899</v>
          </cell>
          <cell r="V47">
            <v>-47407.880632975255</v>
          </cell>
          <cell r="W47">
            <v>-24936.576029999902</v>
          </cell>
          <cell r="X47">
            <v>-42383.716295900005</v>
          </cell>
          <cell r="Y47">
            <v>-42638.56144872179</v>
          </cell>
          <cell r="Z47">
            <v>-44774.961478029138</v>
          </cell>
          <cell r="AD47">
            <v>0</v>
          </cell>
          <cell r="AH47">
            <v>0</v>
          </cell>
          <cell r="AL47">
            <v>0</v>
          </cell>
          <cell r="AP47">
            <v>0</v>
          </cell>
          <cell r="AT47">
            <v>0</v>
          </cell>
          <cell r="AX47">
            <v>0</v>
          </cell>
          <cell r="AZ47">
            <v>-199213.18214999992</v>
          </cell>
          <cell r="BA47">
            <v>-261072.90137769998</v>
          </cell>
          <cell r="BB47">
            <v>-257691.24481916978</v>
          </cell>
          <cell r="BC47">
            <v>-272156.87218327448</v>
          </cell>
          <cell r="BE47">
            <v>-106500.16147000002</v>
          </cell>
          <cell r="BF47">
            <v>-127868.26931</v>
          </cell>
          <cell r="BG47">
            <v>-128898.59177545481</v>
          </cell>
          <cell r="BH47">
            <v>-133602.85901349294</v>
          </cell>
          <cell r="BI47">
            <v>-92713.0206799999</v>
          </cell>
          <cell r="BJ47">
            <v>-133204.6320677</v>
          </cell>
          <cell r="BK47">
            <v>-128792.65304371493</v>
          </cell>
          <cell r="BL47">
            <v>-138554.01316978157</v>
          </cell>
          <cell r="BM47">
            <v>0</v>
          </cell>
          <cell r="BN47">
            <v>0</v>
          </cell>
          <cell r="BO47">
            <v>0</v>
          </cell>
          <cell r="BP47">
            <v>0</v>
          </cell>
          <cell r="BQ47">
            <v>0</v>
          </cell>
          <cell r="BR47">
            <v>0</v>
          </cell>
          <cell r="BS47">
            <v>0</v>
          </cell>
          <cell r="BT47">
            <v>0</v>
          </cell>
        </row>
        <row r="48">
          <cell r="C48">
            <v>-35749.64390526394</v>
          </cell>
          <cell r="D48">
            <v>-36980.89962389291</v>
          </cell>
          <cell r="E48">
            <v>-40404.078660360283</v>
          </cell>
          <cell r="F48">
            <v>-29830.197638503203</v>
          </cell>
          <cell r="G48">
            <v>-34313.560938214068</v>
          </cell>
          <cell r="H48">
            <v>-41085.050061667396</v>
          </cell>
          <cell r="I48">
            <v>-34653.20184219451</v>
          </cell>
          <cell r="J48">
            <v>-27942.031117737039</v>
          </cell>
          <cell r="K48">
            <v>-38319.297445341945</v>
          </cell>
          <cell r="L48">
            <v>-52264.951658502629</v>
          </cell>
          <cell r="M48">
            <v>-38916.392404918537</v>
          </cell>
          <cell r="N48">
            <v>-37023.372161389474</v>
          </cell>
          <cell r="O48">
            <v>-46503.697237874381</v>
          </cell>
          <cell r="P48">
            <v>-33387.556418787804</v>
          </cell>
          <cell r="Q48">
            <v>-35563.63984512147</v>
          </cell>
          <cell r="R48">
            <v>-30267.725076149167</v>
          </cell>
          <cell r="S48">
            <v>-38682.949478420924</v>
          </cell>
          <cell r="T48">
            <v>-40043.528590529866</v>
          </cell>
          <cell r="U48">
            <v>-41391.33391624166</v>
          </cell>
          <cell r="V48">
            <v>-29992.362503867891</v>
          </cell>
          <cell r="W48">
            <v>-43782.650358626284</v>
          </cell>
          <cell r="X48">
            <v>-27277.430007859337</v>
          </cell>
          <cell r="Y48">
            <v>-38769.68507611769</v>
          </cell>
          <cell r="Z48">
            <v>-26688.536732794459</v>
          </cell>
          <cell r="AD48">
            <v>0</v>
          </cell>
          <cell r="AH48">
            <v>0</v>
          </cell>
          <cell r="AL48">
            <v>0</v>
          </cell>
          <cell r="AP48">
            <v>0</v>
          </cell>
          <cell r="AT48">
            <v>0</v>
          </cell>
          <cell r="AX48">
            <v>0</v>
          </cell>
          <cell r="AZ48">
            <v>-237351.79936374153</v>
          </cell>
          <cell r="BA48">
            <v>-231039.41636123994</v>
          </cell>
          <cell r="BB48">
            <v>-229698.33174495414</v>
          </cell>
          <cell r="BC48">
            <v>-181744.22523044122</v>
          </cell>
          <cell r="BE48">
            <v>-108382.50228881996</v>
          </cell>
          <cell r="BF48">
            <v>-130330.90134406294</v>
          </cell>
          <cell r="BG48">
            <v>-113973.67290747332</v>
          </cell>
          <cell r="BH48">
            <v>-94795.600917629723</v>
          </cell>
          <cell r="BI48">
            <v>-128969.29707492159</v>
          </cell>
          <cell r="BJ48">
            <v>-100708.51501717701</v>
          </cell>
          <cell r="BK48">
            <v>-115724.65883748082</v>
          </cell>
          <cell r="BL48">
            <v>-86948.624312811517</v>
          </cell>
          <cell r="BM48">
            <v>0</v>
          </cell>
          <cell r="BN48">
            <v>0</v>
          </cell>
          <cell r="BO48">
            <v>0</v>
          </cell>
          <cell r="BP48">
            <v>0</v>
          </cell>
          <cell r="BQ48">
            <v>0</v>
          </cell>
          <cell r="BR48">
            <v>0</v>
          </cell>
          <cell r="BS48">
            <v>0</v>
          </cell>
          <cell r="BT48">
            <v>0</v>
          </cell>
        </row>
        <row r="49">
          <cell r="C49">
            <v>-31114.371919999998</v>
          </cell>
          <cell r="D49">
            <v>-32627.529355973591</v>
          </cell>
          <cell r="E49">
            <v>-38071.083659235905</v>
          </cell>
          <cell r="F49">
            <v>-26939.641419062576</v>
          </cell>
          <cell r="G49">
            <v>-26536.22164</v>
          </cell>
          <cell r="H49">
            <v>-33725.46804</v>
          </cell>
          <cell r="I49">
            <v>-31289.0362973991</v>
          </cell>
          <cell r="J49">
            <v>-24849.904945412229</v>
          </cell>
          <cell r="K49">
            <v>-28107.249039999999</v>
          </cell>
          <cell r="L49">
            <v>-46941.655118000002</v>
          </cell>
          <cell r="M49">
            <v>-34428.452316674797</v>
          </cell>
          <cell r="N49">
            <v>-34582.576736070201</v>
          </cell>
          <cell r="O49">
            <v>-31769.970989999998</v>
          </cell>
          <cell r="P49">
            <v>-28743.030159999995</v>
          </cell>
          <cell r="Q49">
            <v>-31779.3998655781</v>
          </cell>
          <cell r="R49">
            <v>-25926.825976858298</v>
          </cell>
          <cell r="S49">
            <v>-32146.460270000003</v>
          </cell>
          <cell r="T49">
            <v>-33568.468869999997</v>
          </cell>
          <cell r="U49">
            <v>-37021.457630598001</v>
          </cell>
          <cell r="V49">
            <v>-25506.832333147202</v>
          </cell>
          <cell r="W49">
            <v>-35268.093959999998</v>
          </cell>
          <cell r="X49">
            <v>-22053.784739999999</v>
          </cell>
          <cell r="Y49">
            <v>-31806.479379368102</v>
          </cell>
          <cell r="Z49">
            <v>-24286.968102863699</v>
          </cell>
          <cell r="AD49">
            <v>0</v>
          </cell>
          <cell r="AH49">
            <v>0</v>
          </cell>
          <cell r="AL49">
            <v>0</v>
          </cell>
          <cell r="AP49">
            <v>0</v>
          </cell>
          <cell r="AT49">
            <v>0</v>
          </cell>
          <cell r="AX49">
            <v>0</v>
          </cell>
          <cell r="AZ49">
            <v>-184942.36781999998</v>
          </cell>
          <cell r="BA49">
            <v>-197659.9362839736</v>
          </cell>
          <cell r="BB49">
            <v>-204395.909148854</v>
          </cell>
          <cell r="BC49">
            <v>-162092.74951341419</v>
          </cell>
          <cell r="BE49">
            <v>-85757.842599999989</v>
          </cell>
          <cell r="BF49">
            <v>-113294.65251397359</v>
          </cell>
          <cell r="BG49">
            <v>-103788.57227330979</v>
          </cell>
          <cell r="BH49">
            <v>-86372.12310054501</v>
          </cell>
          <cell r="BI49">
            <v>-99184.525219999996</v>
          </cell>
          <cell r="BJ49">
            <v>-84365.283769999995</v>
          </cell>
          <cell r="BK49">
            <v>-100607.33687554421</v>
          </cell>
          <cell r="BL49">
            <v>-75720.626412869198</v>
          </cell>
          <cell r="BM49">
            <v>0</v>
          </cell>
          <cell r="BN49">
            <v>0</v>
          </cell>
          <cell r="BO49">
            <v>0</v>
          </cell>
          <cell r="BP49">
            <v>0</v>
          </cell>
          <cell r="BQ49">
            <v>0</v>
          </cell>
          <cell r="BR49">
            <v>0</v>
          </cell>
          <cell r="BS49">
            <v>0</v>
          </cell>
          <cell r="BT49">
            <v>0</v>
          </cell>
        </row>
        <row r="50">
          <cell r="C50">
            <v>-4635.2719852639402</v>
          </cell>
          <cell r="D50">
            <v>-4353.3702679193193</v>
          </cell>
          <cell r="E50">
            <v>-2332.99500112438</v>
          </cell>
          <cell r="F50">
            <v>-2890.5562194406284</v>
          </cell>
          <cell r="G50">
            <v>-7777.3392982140695</v>
          </cell>
          <cell r="H50">
            <v>-7359.5820216674001</v>
          </cell>
          <cell r="I50">
            <v>-3364.1655447954099</v>
          </cell>
          <cell r="J50">
            <v>-3092.1261723248117</v>
          </cell>
          <cell r="K50">
            <v>-10212.04840534195</v>
          </cell>
          <cell r="L50">
            <v>-5323.2965405026298</v>
          </cell>
          <cell r="M50">
            <v>-4487.9400882437394</v>
          </cell>
          <cell r="N50">
            <v>-2440.7954253192702</v>
          </cell>
          <cell r="O50">
            <v>-14733.72624787438</v>
          </cell>
          <cell r="P50">
            <v>-4644.5262587878096</v>
          </cell>
          <cell r="Q50">
            <v>-3784.2399795433703</v>
          </cell>
          <cell r="R50">
            <v>-4340.8990992908703</v>
          </cell>
          <cell r="S50">
            <v>-6536.4892084209205</v>
          </cell>
          <cell r="T50">
            <v>-6475.0597205298691</v>
          </cell>
          <cell r="U50">
            <v>-4369.8762856436606</v>
          </cell>
          <cell r="V50">
            <v>-4485.53017072069</v>
          </cell>
          <cell r="W50">
            <v>-8514.5563986262896</v>
          </cell>
          <cell r="X50">
            <v>-5223.6452678593396</v>
          </cell>
          <cell r="Y50">
            <v>-6963.2056967495901</v>
          </cell>
          <cell r="Z50">
            <v>-2401.5686299307599</v>
          </cell>
          <cell r="AD50">
            <v>0</v>
          </cell>
          <cell r="AH50">
            <v>0</v>
          </cell>
          <cell r="AL50">
            <v>0</v>
          </cell>
          <cell r="AP50">
            <v>0</v>
          </cell>
          <cell r="AT50">
            <v>0</v>
          </cell>
          <cell r="AX50">
            <v>0</v>
          </cell>
          <cell r="AZ50">
            <v>-52409.43154374155</v>
          </cell>
          <cell r="BA50">
            <v>-33379.480077266366</v>
          </cell>
          <cell r="BB50">
            <v>-25302.42259610015</v>
          </cell>
          <cell r="BC50">
            <v>-19651.475717027028</v>
          </cell>
          <cell r="BE50">
            <v>-22624.65968881996</v>
          </cell>
          <cell r="BF50">
            <v>-17036.248830089349</v>
          </cell>
          <cell r="BG50">
            <v>-10185.100634163529</v>
          </cell>
          <cell r="BH50">
            <v>-8423.4778170847094</v>
          </cell>
          <cell r="BI50">
            <v>-29784.77185492159</v>
          </cell>
          <cell r="BJ50">
            <v>-16343.231247177018</v>
          </cell>
          <cell r="BK50">
            <v>-15117.321961936621</v>
          </cell>
          <cell r="BL50">
            <v>-11227.99789994232</v>
          </cell>
          <cell r="BM50">
            <v>0</v>
          </cell>
          <cell r="BN50">
            <v>0</v>
          </cell>
          <cell r="BO50">
            <v>0</v>
          </cell>
          <cell r="BP50">
            <v>0</v>
          </cell>
          <cell r="BQ50">
            <v>0</v>
          </cell>
          <cell r="BR50">
            <v>0</v>
          </cell>
          <cell r="BS50">
            <v>0</v>
          </cell>
          <cell r="BT50">
            <v>0</v>
          </cell>
        </row>
        <row r="51">
          <cell r="C51">
            <v>-133866.79467039957</v>
          </cell>
          <cell r="D51">
            <v>-129521.72724932025</v>
          </cell>
          <cell r="E51">
            <v>-148404.01802046644</v>
          </cell>
          <cell r="F51">
            <v>-71736.222172013629</v>
          </cell>
          <cell r="G51">
            <v>-124000.20048039946</v>
          </cell>
          <cell r="H51">
            <v>-122734.80190392076</v>
          </cell>
          <cell r="I51">
            <v>-119700.8361980608</v>
          </cell>
          <cell r="J51">
            <v>-92185.531457216479</v>
          </cell>
          <cell r="K51">
            <v>-134825.54963678221</v>
          </cell>
          <cell r="L51">
            <v>-123387.9166771427</v>
          </cell>
          <cell r="M51">
            <v>-49754.480852995308</v>
          </cell>
          <cell r="N51">
            <v>-121454.24637592369</v>
          </cell>
          <cell r="O51">
            <v>-126505.95372105137</v>
          </cell>
          <cell r="P51">
            <v>-130428.20010096865</v>
          </cell>
          <cell r="Q51">
            <v>-101446.48616633777</v>
          </cell>
          <cell r="R51">
            <v>-104927.55406205982</v>
          </cell>
          <cell r="S51">
            <v>-146649.65939531507</v>
          </cell>
          <cell r="T51">
            <v>-126696.59678662037</v>
          </cell>
          <cell r="U51">
            <v>-129035.90692353106</v>
          </cell>
          <cell r="V51">
            <v>-120068.95011041194</v>
          </cell>
          <cell r="W51">
            <v>-131345.44006424668</v>
          </cell>
          <cell r="X51">
            <v>-134896.84671579808</v>
          </cell>
          <cell r="Y51">
            <v>-71664.07700930709</v>
          </cell>
          <cell r="Z51">
            <v>-129728.75010347426</v>
          </cell>
          <cell r="AD51">
            <v>0</v>
          </cell>
          <cell r="AH51">
            <v>0</v>
          </cell>
          <cell r="AL51">
            <v>0</v>
          </cell>
          <cell r="AP51">
            <v>0</v>
          </cell>
          <cell r="AT51">
            <v>0</v>
          </cell>
          <cell r="AX51">
            <v>0</v>
          </cell>
          <cell r="AZ51">
            <v>-797193.5979681944</v>
          </cell>
          <cell r="BA51">
            <v>-767666.08943377074</v>
          </cell>
          <cell r="BB51">
            <v>-620005.80517069856</v>
          </cell>
          <cell r="BC51">
            <v>-640101.25428109989</v>
          </cell>
          <cell r="BE51">
            <v>-392691.5447875812</v>
          </cell>
          <cell r="BF51">
            <v>-375645.44583038369</v>
          </cell>
          <cell r="BG51">
            <v>-317859.33507152251</v>
          </cell>
          <cell r="BH51">
            <v>-285376.00000515376</v>
          </cell>
          <cell r="BI51">
            <v>-404502.05318061309</v>
          </cell>
          <cell r="BJ51">
            <v>-392020.64360338706</v>
          </cell>
          <cell r="BK51">
            <v>-302146.47009917593</v>
          </cell>
          <cell r="BL51">
            <v>-354725.25427594606</v>
          </cell>
          <cell r="BM51">
            <v>0</v>
          </cell>
          <cell r="BN51">
            <v>0</v>
          </cell>
          <cell r="BO51">
            <v>0</v>
          </cell>
          <cell r="BP51">
            <v>0</v>
          </cell>
          <cell r="BQ51">
            <v>0</v>
          </cell>
          <cell r="BR51">
            <v>0</v>
          </cell>
          <cell r="BS51">
            <v>0</v>
          </cell>
          <cell r="BT51">
            <v>0</v>
          </cell>
        </row>
        <row r="52">
          <cell r="C52">
            <v>-50128.849206629304</v>
          </cell>
          <cell r="D52">
            <v>-36316.864469427499</v>
          </cell>
          <cell r="E52">
            <v>-41064.440966405047</v>
          </cell>
          <cell r="F52">
            <v>-20948.557368561909</v>
          </cell>
          <cell r="G52">
            <v>-31595.434669854807</v>
          </cell>
          <cell r="H52">
            <v>-28393.004013352591</v>
          </cell>
          <cell r="I52">
            <v>-27833.969998261444</v>
          </cell>
          <cell r="J52">
            <v>-22923.432457476905</v>
          </cell>
          <cell r="K52">
            <v>-43304.85275766316</v>
          </cell>
          <cell r="L52">
            <v>-43415.031417412538</v>
          </cell>
          <cell r="M52">
            <v>-37760.414587637293</v>
          </cell>
          <cell r="N52">
            <v>-28407.093507801197</v>
          </cell>
          <cell r="O52">
            <v>-43336.44994234739</v>
          </cell>
          <cell r="P52">
            <v>-30218.895369575304</v>
          </cell>
          <cell r="Q52">
            <v>-32946.331799266045</v>
          </cell>
          <cell r="R52">
            <v>-30160.675996249389</v>
          </cell>
          <cell r="S52">
            <v>-46162.559263565374</v>
          </cell>
          <cell r="T52">
            <v>-40026.195737978625</v>
          </cell>
          <cell r="U52">
            <v>-38216.121055839372</v>
          </cell>
          <cell r="V52">
            <v>-35837.808718539251</v>
          </cell>
          <cell r="W52">
            <v>-47875.162361666291</v>
          </cell>
          <cell r="X52">
            <v>-38726.006004605064</v>
          </cell>
          <cell r="Y52">
            <v>-36014.1570129268</v>
          </cell>
          <cell r="Z52">
            <v>-30224.610344501325</v>
          </cell>
          <cell r="AD52">
            <v>0</v>
          </cell>
          <cell r="AH52">
            <v>0</v>
          </cell>
          <cell r="AL52">
            <v>0</v>
          </cell>
          <cell r="AP52">
            <v>0</v>
          </cell>
          <cell r="AT52">
            <v>0</v>
          </cell>
          <cell r="AX52">
            <v>0</v>
          </cell>
          <cell r="AZ52">
            <v>-262403.30820172635</v>
          </cell>
          <cell r="BA52">
            <v>-217095.99701235161</v>
          </cell>
          <cell r="BB52">
            <v>-213835.435420336</v>
          </cell>
          <cell r="BC52">
            <v>-168502.17839312999</v>
          </cell>
          <cell r="BE52">
            <v>-125029.13663414727</v>
          </cell>
          <cell r="BF52">
            <v>-108124.89990019263</v>
          </cell>
          <cell r="BG52">
            <v>-106658.82555230378</v>
          </cell>
          <cell r="BH52">
            <v>-72279.083333840012</v>
          </cell>
          <cell r="BI52">
            <v>-137374.17156757906</v>
          </cell>
          <cell r="BJ52">
            <v>-108971.097112159</v>
          </cell>
          <cell r="BK52">
            <v>-107176.60986803222</v>
          </cell>
          <cell r="BL52">
            <v>-96223.095059289975</v>
          </cell>
          <cell r="BM52">
            <v>0</v>
          </cell>
          <cell r="BN52">
            <v>0</v>
          </cell>
          <cell r="BO52">
            <v>0</v>
          </cell>
          <cell r="BP52">
            <v>0</v>
          </cell>
          <cell r="BQ52">
            <v>0</v>
          </cell>
          <cell r="BR52">
            <v>0</v>
          </cell>
          <cell r="BS52">
            <v>0</v>
          </cell>
          <cell r="BT52">
            <v>0</v>
          </cell>
        </row>
        <row r="53">
          <cell r="C53">
            <v>-12539.98813</v>
          </cell>
          <cell r="D53">
            <v>-14059.717500000001</v>
          </cell>
          <cell r="E53">
            <v>-14533.6370030043</v>
          </cell>
          <cell r="F53">
            <v>-12640.808723032947</v>
          </cell>
          <cell r="G53">
            <v>-17363.048920000001</v>
          </cell>
          <cell r="H53">
            <v>-16437.906179999998</v>
          </cell>
          <cell r="I53">
            <v>-15686.632745262699</v>
          </cell>
          <cell r="J53">
            <v>-15761.250052911853</v>
          </cell>
          <cell r="K53">
            <v>-15094.046900000001</v>
          </cell>
          <cell r="L53">
            <v>-16085.90789</v>
          </cell>
          <cell r="M53">
            <v>-26668.799647350101</v>
          </cell>
          <cell r="N53">
            <v>-11423.8238872773</v>
          </cell>
          <cell r="O53">
            <v>-14606.205029999999</v>
          </cell>
          <cell r="P53">
            <v>-16175.762129999999</v>
          </cell>
          <cell r="Q53">
            <v>-16722.043018293301</v>
          </cell>
          <cell r="R53">
            <v>-15496.5336837579</v>
          </cell>
          <cell r="S53">
            <v>-11848.870780000001</v>
          </cell>
          <cell r="T53">
            <v>-16359.893619999999</v>
          </cell>
          <cell r="U53">
            <v>-16941.683435758798</v>
          </cell>
          <cell r="V53">
            <v>-12964.7641730696</v>
          </cell>
          <cell r="W53">
            <v>-15720.015259999998</v>
          </cell>
          <cell r="X53">
            <v>-16241.45287999999</v>
          </cell>
          <cell r="Y53">
            <v>14298.311854358399</v>
          </cell>
          <cell r="Z53">
            <v>-15070.810971483801</v>
          </cell>
          <cell r="AD53">
            <v>0</v>
          </cell>
          <cell r="AH53">
            <v>0</v>
          </cell>
          <cell r="AL53">
            <v>0</v>
          </cell>
          <cell r="AP53">
            <v>0</v>
          </cell>
          <cell r="AT53">
            <v>0</v>
          </cell>
          <cell r="AX53">
            <v>0</v>
          </cell>
          <cell r="AZ53">
            <v>-87172.175019999995</v>
          </cell>
          <cell r="BA53">
            <v>-95360.640199999994</v>
          </cell>
          <cell r="BB53">
            <v>-76254.483995310802</v>
          </cell>
          <cell r="BC53">
            <v>-83357.991491533408</v>
          </cell>
          <cell r="BE53">
            <v>-44997.08395</v>
          </cell>
          <cell r="BF53">
            <v>-46583.531569999999</v>
          </cell>
          <cell r="BG53">
            <v>-56889.069395617102</v>
          </cell>
          <cell r="BH53">
            <v>-39825.882663222103</v>
          </cell>
          <cell r="BI53">
            <v>-42175.091070000002</v>
          </cell>
          <cell r="BJ53">
            <v>-48777.108629999988</v>
          </cell>
          <cell r="BK53">
            <v>-19365.4145996937</v>
          </cell>
          <cell r="BL53">
            <v>-43532.108828311299</v>
          </cell>
          <cell r="BM53">
            <v>0</v>
          </cell>
          <cell r="BN53">
            <v>0</v>
          </cell>
          <cell r="BO53">
            <v>0</v>
          </cell>
          <cell r="BP53">
            <v>0</v>
          </cell>
          <cell r="BQ53">
            <v>0</v>
          </cell>
          <cell r="BR53">
            <v>0</v>
          </cell>
          <cell r="BS53">
            <v>0</v>
          </cell>
          <cell r="BT53">
            <v>0</v>
          </cell>
        </row>
        <row r="54">
          <cell r="C54">
            <v>-229.63605315346553</v>
          </cell>
          <cell r="D54">
            <v>-180.36921682828284</v>
          </cell>
          <cell r="E54">
            <v>-181.29023851285228</v>
          </cell>
          <cell r="F54">
            <v>-114.07745705202311</v>
          </cell>
          <cell r="G54">
            <v>-181.20172819785338</v>
          </cell>
          <cell r="H54">
            <v>-155.40457552160279</v>
          </cell>
          <cell r="I54">
            <v>-177.83561148554023</v>
          </cell>
          <cell r="J54">
            <v>-116.3935947188106</v>
          </cell>
          <cell r="K54">
            <v>-186.81420402749231</v>
          </cell>
          <cell r="L54">
            <v>-127.14548077316337</v>
          </cell>
          <cell r="M54">
            <v>-149.90748862350205</v>
          </cell>
          <cell r="N54">
            <v>-120.5183951512373</v>
          </cell>
          <cell r="O54">
            <v>-202.09755742950423</v>
          </cell>
          <cell r="P54">
            <v>-187.0708438392665</v>
          </cell>
          <cell r="Q54">
            <v>-159.57139559095242</v>
          </cell>
          <cell r="R54">
            <v>-121.48945067225947</v>
          </cell>
          <cell r="S54">
            <v>-179.11923116245819</v>
          </cell>
          <cell r="T54">
            <v>-161.40832269678617</v>
          </cell>
          <cell r="U54">
            <v>-155.86095160794301</v>
          </cell>
          <cell r="V54">
            <v>-123.62957957366778</v>
          </cell>
          <cell r="W54">
            <v>-187.95672274448231</v>
          </cell>
          <cell r="X54">
            <v>-188.04833539988374</v>
          </cell>
          <cell r="Y54">
            <v>-185.12421377806837</v>
          </cell>
          <cell r="Z54">
            <v>-147.20834700160765</v>
          </cell>
          <cell r="AD54">
            <v>0</v>
          </cell>
          <cell r="AH54">
            <v>0</v>
          </cell>
          <cell r="AL54">
            <v>0</v>
          </cell>
          <cell r="AP54">
            <v>0</v>
          </cell>
          <cell r="AT54">
            <v>0</v>
          </cell>
          <cell r="AX54">
            <v>0</v>
          </cell>
          <cell r="AZ54">
            <v>-1166.8254967152559</v>
          </cell>
          <cell r="BA54">
            <v>-999.44677505898551</v>
          </cell>
          <cell r="BB54">
            <v>-1009.5898995988583</v>
          </cell>
          <cell r="BC54">
            <v>-743.31682416960587</v>
          </cell>
          <cell r="BE54">
            <v>-597.65198537881122</v>
          </cell>
          <cell r="BF54">
            <v>-462.91927312304904</v>
          </cell>
          <cell r="BG54">
            <v>-509.03333862189453</v>
          </cell>
          <cell r="BH54">
            <v>-350.98944692207101</v>
          </cell>
          <cell r="BI54">
            <v>-569.17351133644479</v>
          </cell>
          <cell r="BJ54">
            <v>-536.52750193593647</v>
          </cell>
          <cell r="BK54">
            <v>-500.55656097696374</v>
          </cell>
          <cell r="BL54">
            <v>-392.32737724753491</v>
          </cell>
          <cell r="BM54">
            <v>0</v>
          </cell>
          <cell r="BN54">
            <v>0</v>
          </cell>
          <cell r="BO54">
            <v>0</v>
          </cell>
          <cell r="BP54">
            <v>0</v>
          </cell>
          <cell r="BQ54">
            <v>0</v>
          </cell>
          <cell r="BR54">
            <v>0</v>
          </cell>
          <cell r="BS54">
            <v>0</v>
          </cell>
          <cell r="BT54">
            <v>0</v>
          </cell>
        </row>
        <row r="55">
          <cell r="C55">
            <v>-13885.608089999991</v>
          </cell>
          <cell r="D55">
            <v>-16918.007300000001</v>
          </cell>
          <cell r="E55">
            <v>-41156.997757673998</v>
          </cell>
          <cell r="F55">
            <v>2743.5742399869705</v>
          </cell>
          <cell r="G55">
            <v>-24594.030409999999</v>
          </cell>
          <cell r="H55">
            <v>-21682.98456999999</v>
          </cell>
          <cell r="I55">
            <v>-25651.966829488301</v>
          </cell>
          <cell r="J55">
            <v>-5388.0012600125883</v>
          </cell>
          <cell r="K55">
            <v>-10686.475739999991</v>
          </cell>
          <cell r="L55">
            <v>-18385.539519999998</v>
          </cell>
          <cell r="M55">
            <v>67448.775284776493</v>
          </cell>
          <cell r="N55">
            <v>-35537.196700116998</v>
          </cell>
          <cell r="O55">
            <v>-13343.380699999905</v>
          </cell>
          <cell r="P55">
            <v>-17887.187250000006</v>
          </cell>
          <cell r="Q55">
            <v>-7355.54207625042</v>
          </cell>
          <cell r="R55">
            <v>-12674.291067390901</v>
          </cell>
          <cell r="S55">
            <v>-16858.729319999988</v>
          </cell>
          <cell r="T55">
            <v>-15126.081440000011</v>
          </cell>
          <cell r="U55">
            <v>-21159.204228977302</v>
          </cell>
          <cell r="V55">
            <v>-21154.504262132297</v>
          </cell>
          <cell r="W55">
            <v>-27875.984960000002</v>
          </cell>
          <cell r="X55">
            <v>-16095.08890000001</v>
          </cell>
          <cell r="Y55">
            <v>-2607.0450035000404</v>
          </cell>
          <cell r="Z55">
            <v>-23258.691590197202</v>
          </cell>
          <cell r="AD55">
            <v>0</v>
          </cell>
          <cell r="AH55">
            <v>0</v>
          </cell>
          <cell r="AL55">
            <v>0</v>
          </cell>
          <cell r="AP55">
            <v>0</v>
          </cell>
          <cell r="AT55">
            <v>0</v>
          </cell>
          <cell r="AX55">
            <v>0</v>
          </cell>
          <cell r="AZ55">
            <v>-107244.20921999987</v>
          </cell>
          <cell r="BA55">
            <v>-106094.88898000002</v>
          </cell>
          <cell r="BB55">
            <v>-30481.980611113577</v>
          </cell>
          <cell r="BC55">
            <v>-95269.110639863007</v>
          </cell>
          <cell r="BE55">
            <v>-49166.114239999981</v>
          </cell>
          <cell r="BF55">
            <v>-56986.531389999989</v>
          </cell>
          <cell r="BG55">
            <v>639.81069761418621</v>
          </cell>
          <cell r="BH55">
            <v>-38181.623720142612</v>
          </cell>
          <cell r="BI55">
            <v>-58078.094979999893</v>
          </cell>
          <cell r="BJ55">
            <v>-49108.357590000029</v>
          </cell>
          <cell r="BK55">
            <v>-31121.791308727763</v>
          </cell>
          <cell r="BL55">
            <v>-57087.486919720403</v>
          </cell>
          <cell r="BM55">
            <v>0</v>
          </cell>
          <cell r="BN55">
            <v>0</v>
          </cell>
          <cell r="BO55">
            <v>0</v>
          </cell>
          <cell r="BP55">
            <v>0</v>
          </cell>
          <cell r="BQ55">
            <v>0</v>
          </cell>
          <cell r="BR55">
            <v>0</v>
          </cell>
          <cell r="BS55">
            <v>0</v>
          </cell>
          <cell r="BT55">
            <v>0</v>
          </cell>
        </row>
        <row r="56">
          <cell r="C56">
            <v>-57082.713190616792</v>
          </cell>
          <cell r="D56">
            <v>-62046.768763064458</v>
          </cell>
          <cell r="E56">
            <v>-51467.652054870247</v>
          </cell>
          <cell r="F56">
            <v>-40776.352863353721</v>
          </cell>
          <cell r="G56">
            <v>-50266.484752346805</v>
          </cell>
          <cell r="H56">
            <v>-56065.502565046583</v>
          </cell>
          <cell r="I56">
            <v>-50350.431013562818</v>
          </cell>
          <cell r="J56">
            <v>-47996.454092096319</v>
          </cell>
          <cell r="K56">
            <v>-65553.360035091551</v>
          </cell>
          <cell r="L56">
            <v>-45374.29236895698</v>
          </cell>
          <cell r="M56">
            <v>-52624.134414160908</v>
          </cell>
          <cell r="N56">
            <v>-45965.613885576946</v>
          </cell>
          <cell r="O56">
            <v>-55017.820491274571</v>
          </cell>
          <cell r="P56">
            <v>-65959.284507554068</v>
          </cell>
          <cell r="Q56">
            <v>-44262.997876937043</v>
          </cell>
          <cell r="R56">
            <v>-46474.563863989373</v>
          </cell>
          <cell r="S56">
            <v>-71600.380800587256</v>
          </cell>
          <cell r="T56">
            <v>-55023.01766594495</v>
          </cell>
          <cell r="U56">
            <v>-52563.037251347654</v>
          </cell>
          <cell r="V56">
            <v>-49988.243377097133</v>
          </cell>
          <cell r="W56">
            <v>-39686.320759835908</v>
          </cell>
          <cell r="X56">
            <v>-63646.250595793113</v>
          </cell>
          <cell r="Y56">
            <v>-47156.062633460584</v>
          </cell>
          <cell r="Z56">
            <v>-61027.428850290322</v>
          </cell>
          <cell r="AD56">
            <v>0</v>
          </cell>
          <cell r="AH56">
            <v>0</v>
          </cell>
          <cell r="AL56">
            <v>0</v>
          </cell>
          <cell r="AP56">
            <v>0</v>
          </cell>
          <cell r="AT56">
            <v>0</v>
          </cell>
          <cell r="AX56">
            <v>0</v>
          </cell>
          <cell r="AZ56">
            <v>-339207.08002975286</v>
          </cell>
          <cell r="BA56">
            <v>-348115.11646636017</v>
          </cell>
          <cell r="BB56">
            <v>-298424.31524433923</v>
          </cell>
          <cell r="BC56">
            <v>-292228.6569324038</v>
          </cell>
          <cell r="BE56">
            <v>-172901.55797805515</v>
          </cell>
          <cell r="BF56">
            <v>-163487.56369706802</v>
          </cell>
          <cell r="BG56">
            <v>-154442.21748259396</v>
          </cell>
          <cell r="BH56">
            <v>-134738.42084102696</v>
          </cell>
          <cell r="BI56">
            <v>-166305.52205169774</v>
          </cell>
          <cell r="BJ56">
            <v>-184627.55276929212</v>
          </cell>
          <cell r="BK56">
            <v>-143982.09776174527</v>
          </cell>
          <cell r="BL56">
            <v>-157490.23609137684</v>
          </cell>
          <cell r="BM56">
            <v>0</v>
          </cell>
          <cell r="BN56">
            <v>0</v>
          </cell>
          <cell r="BO56">
            <v>0</v>
          </cell>
          <cell r="BP56">
            <v>0</v>
          </cell>
          <cell r="BQ56">
            <v>0</v>
          </cell>
          <cell r="BR56">
            <v>0</v>
          </cell>
          <cell r="BS56">
            <v>0</v>
          </cell>
          <cell r="BT56">
            <v>0</v>
          </cell>
        </row>
        <row r="57">
          <cell r="C57">
            <v>-6724.0749499999902</v>
          </cell>
          <cell r="D57">
            <v>-5929.7186800000309</v>
          </cell>
          <cell r="E57">
            <v>-8193.9135353248494</v>
          </cell>
          <cell r="F57">
            <v>-7730.3078349121033</v>
          </cell>
          <cell r="G57">
            <v>-9187.4720799999795</v>
          </cell>
          <cell r="H57">
            <v>-9192.7776700000395</v>
          </cell>
          <cell r="I57">
            <v>-5582.6923957946492</v>
          </cell>
          <cell r="J57">
            <v>-9361.2910553690235</v>
          </cell>
          <cell r="K57">
            <v>-7581.3782500000598</v>
          </cell>
          <cell r="L57">
            <v>-6582.9290199999396</v>
          </cell>
          <cell r="M57">
            <v>-9288.6531492025606</v>
          </cell>
          <cell r="N57">
            <v>-10544.9896262603</v>
          </cell>
          <cell r="O57">
            <v>-7808.9241899999797</v>
          </cell>
          <cell r="P57">
            <v>-8544.9907500000008</v>
          </cell>
          <cell r="Q57">
            <v>-7071.6577836474698</v>
          </cell>
          <cell r="R57">
            <v>-9460.9042320631288</v>
          </cell>
          <cell r="S57">
            <v>-5379.2296000000297</v>
          </cell>
          <cell r="T57">
            <v>-3830.3661100000072</v>
          </cell>
          <cell r="U57">
            <v>-10134.575860086299</v>
          </cell>
          <cell r="V57">
            <v>-10812.339722929601</v>
          </cell>
          <cell r="W57">
            <v>-8097.3507399999799</v>
          </cell>
          <cell r="X57">
            <v>-6652.5365899999997</v>
          </cell>
          <cell r="Y57">
            <v>-8878.4462996919701</v>
          </cell>
          <cell r="Z57">
            <v>-11895.2973317709</v>
          </cell>
          <cell r="AD57">
            <v>0</v>
          </cell>
          <cell r="AH57">
            <v>0</v>
          </cell>
          <cell r="AL57">
            <v>0</v>
          </cell>
          <cell r="AP57">
            <v>0</v>
          </cell>
          <cell r="AT57">
            <v>0</v>
          </cell>
          <cell r="AX57">
            <v>0</v>
          </cell>
          <cell r="AZ57">
            <v>-44778.429810000016</v>
          </cell>
          <cell r="BA57">
            <v>-40733.318820000015</v>
          </cell>
          <cell r="BB57">
            <v>-49149.939023747793</v>
          </cell>
          <cell r="BC57">
            <v>-59805.129803305055</v>
          </cell>
          <cell r="BE57">
            <v>-23492.925280000029</v>
          </cell>
          <cell r="BF57">
            <v>-21705.425370000012</v>
          </cell>
          <cell r="BG57">
            <v>-23065.259080322059</v>
          </cell>
          <cell r="BH57">
            <v>-27636.588516541426</v>
          </cell>
          <cell r="BI57">
            <v>-21285.504529999991</v>
          </cell>
          <cell r="BJ57">
            <v>-19027.893450000007</v>
          </cell>
          <cell r="BK57">
            <v>-26084.679943425741</v>
          </cell>
          <cell r="BL57">
            <v>-32168.54128676363</v>
          </cell>
          <cell r="BM57">
            <v>0</v>
          </cell>
          <cell r="BN57">
            <v>0</v>
          </cell>
          <cell r="BO57">
            <v>0</v>
          </cell>
          <cell r="BP57">
            <v>0</v>
          </cell>
          <cell r="BQ57">
            <v>0</v>
          </cell>
          <cell r="BR57">
            <v>0</v>
          </cell>
          <cell r="BS57">
            <v>0</v>
          </cell>
          <cell r="BT57">
            <v>0</v>
          </cell>
        </row>
        <row r="58">
          <cell r="C58">
            <v>-18137.26641</v>
          </cell>
          <cell r="D58">
            <v>-15525.543559999998</v>
          </cell>
          <cell r="E58">
            <v>-15700.886158537078</v>
          </cell>
          <cell r="F58">
            <v>-15612.738825422279</v>
          </cell>
          <cell r="G58">
            <v>-15041.171639999999</v>
          </cell>
          <cell r="H58">
            <v>-13455.975619999999</v>
          </cell>
          <cell r="I58">
            <v>-15999.554068967471</v>
          </cell>
          <cell r="J58">
            <v>-16709.751582302601</v>
          </cell>
          <cell r="K58">
            <v>-15687.935110000011</v>
          </cell>
          <cell r="L58">
            <v>-15446.720539999998</v>
          </cell>
          <cell r="M58">
            <v>-13395.663755194561</v>
          </cell>
          <cell r="N58">
            <v>-16160.511615940441</v>
          </cell>
          <cell r="O58">
            <v>-17064.170180000001</v>
          </cell>
          <cell r="P58">
            <v>-14036.631690000002</v>
          </cell>
          <cell r="Q58">
            <v>-14701.677032460078</v>
          </cell>
          <cell r="R58">
            <v>-14878.785333961629</v>
          </cell>
          <cell r="S58">
            <v>-14582.732559999991</v>
          </cell>
          <cell r="T58">
            <v>-13501.685019999999</v>
          </cell>
          <cell r="U58">
            <v>-15478.74669427377</v>
          </cell>
          <cell r="V58">
            <v>-14194.932763489769</v>
          </cell>
          <cell r="W58">
            <v>-13380.19189</v>
          </cell>
          <cell r="X58">
            <v>-13985.993899999998</v>
          </cell>
          <cell r="Y58">
            <v>-15347.467715788</v>
          </cell>
          <cell r="Z58">
            <v>-15577.003845441741</v>
          </cell>
          <cell r="AD58">
            <v>0</v>
          </cell>
          <cell r="AH58">
            <v>0</v>
          </cell>
          <cell r="AL58">
            <v>0</v>
          </cell>
          <cell r="AP58">
            <v>0</v>
          </cell>
          <cell r="AT58">
            <v>0</v>
          </cell>
          <cell r="AX58">
            <v>0</v>
          </cell>
          <cell r="AZ58">
            <v>-93893.467789999995</v>
          </cell>
          <cell r="BA58">
            <v>-85952.550329999998</v>
          </cell>
          <cell r="BB58">
            <v>-90623.995425220957</v>
          </cell>
          <cell r="BC58">
            <v>-93133.723966558449</v>
          </cell>
          <cell r="BE58">
            <v>-48866.37316000001</v>
          </cell>
          <cell r="BF58">
            <v>-44428.239719999998</v>
          </cell>
          <cell r="BG58">
            <v>-45096.103982699111</v>
          </cell>
          <cell r="BH58">
            <v>-48483.002023665322</v>
          </cell>
          <cell r="BI58">
            <v>-45027.094629999992</v>
          </cell>
          <cell r="BJ58">
            <v>-41524.31061</v>
          </cell>
          <cell r="BK58">
            <v>-45527.891442521846</v>
          </cell>
          <cell r="BL58">
            <v>-44650.721942893142</v>
          </cell>
          <cell r="BM58">
            <v>0</v>
          </cell>
          <cell r="BN58">
            <v>0</v>
          </cell>
          <cell r="BO58">
            <v>0</v>
          </cell>
          <cell r="BP58">
            <v>0</v>
          </cell>
          <cell r="BQ58">
            <v>0</v>
          </cell>
          <cell r="BR58">
            <v>0</v>
          </cell>
          <cell r="BS58">
            <v>0</v>
          </cell>
          <cell r="BT58">
            <v>0</v>
          </cell>
        </row>
        <row r="59">
          <cell r="C59">
            <v>-2642.6402547673615</v>
          </cell>
          <cell r="D59">
            <v>-2622.4716827041284</v>
          </cell>
          <cell r="E59">
            <v>-830.61383252229541</v>
          </cell>
          <cell r="F59">
            <v>-809.32976899531604</v>
          </cell>
          <cell r="G59">
            <v>-2235.0377926885344</v>
          </cell>
          <cell r="H59">
            <v>-2891.4222998179275</v>
          </cell>
          <cell r="I59">
            <v>-1077.1928943800281</v>
          </cell>
          <cell r="J59">
            <v>-973.43774244379642</v>
          </cell>
          <cell r="K59">
            <v>-2992.0550021380254</v>
          </cell>
          <cell r="L59">
            <v>-2302.0410610189551</v>
          </cell>
          <cell r="M59">
            <v>-998.32964780085251</v>
          </cell>
          <cell r="N59">
            <v>-1288.3739568249732</v>
          </cell>
          <cell r="O59">
            <v>-2971.1193999249231</v>
          </cell>
          <cell r="P59">
            <v>-2932.4979800777778</v>
          </cell>
          <cell r="Q59">
            <v>-1128.9147065539094</v>
          </cell>
          <cell r="R59">
            <v>-1060.650483639251</v>
          </cell>
          <cell r="S59">
            <v>-2867.2554426286606</v>
          </cell>
          <cell r="T59">
            <v>-2842.7964924032976</v>
          </cell>
          <cell r="U59">
            <v>-1196.0973826903512</v>
          </cell>
          <cell r="V59">
            <v>-909.81335640255475</v>
          </cell>
          <cell r="W59">
            <v>-2288.7032201151669</v>
          </cell>
          <cell r="X59">
            <v>-2711.7800627802462</v>
          </cell>
          <cell r="Y59">
            <v>-1181.4840802827966</v>
          </cell>
          <cell r="Z59">
            <v>-1429.2481135745572</v>
          </cell>
          <cell r="AD59">
            <v>0</v>
          </cell>
          <cell r="AH59">
            <v>0</v>
          </cell>
          <cell r="AL59">
            <v>0</v>
          </cell>
          <cell r="AP59">
            <v>0</v>
          </cell>
          <cell r="AT59">
            <v>0</v>
          </cell>
          <cell r="AX59">
            <v>0</v>
          </cell>
          <cell r="AZ59">
            <v>-15996.811112262672</v>
          </cell>
          <cell r="BA59">
            <v>-16303.009578802332</v>
          </cell>
          <cell r="BB59">
            <v>-6412.6325442302332</v>
          </cell>
          <cell r="BC59">
            <v>-6470.8534218804489</v>
          </cell>
          <cell r="BE59">
            <v>-7869.7330495939223</v>
          </cell>
          <cell r="BF59">
            <v>-7815.9350435410106</v>
          </cell>
          <cell r="BG59">
            <v>-2906.136374703176</v>
          </cell>
          <cell r="BH59">
            <v>-3071.1414682640857</v>
          </cell>
          <cell r="BI59">
            <v>-8127.0780626687501</v>
          </cell>
          <cell r="BJ59">
            <v>-8487.0745352613212</v>
          </cell>
          <cell r="BK59">
            <v>-3506.4961695270572</v>
          </cell>
          <cell r="BL59">
            <v>-3399.7119536163627</v>
          </cell>
          <cell r="BM59">
            <v>0</v>
          </cell>
          <cell r="BN59">
            <v>0</v>
          </cell>
          <cell r="BO59">
            <v>0</v>
          </cell>
          <cell r="BP59">
            <v>0</v>
          </cell>
          <cell r="BQ59">
            <v>0</v>
          </cell>
          <cell r="BR59">
            <v>0</v>
          </cell>
          <cell r="BS59">
            <v>0</v>
          </cell>
          <cell r="BT59">
            <v>0</v>
          </cell>
        </row>
        <row r="60">
          <cell r="C60">
            <v>-27547.286555849441</v>
          </cell>
          <cell r="D60">
            <v>-35890.939750360296</v>
          </cell>
          <cell r="E60">
            <v>-24952.842486164183</v>
          </cell>
          <cell r="F60">
            <v>-14931.557470979194</v>
          </cell>
          <cell r="G60">
            <v>-21691.157909658297</v>
          </cell>
          <cell r="H60">
            <v>-28510.126375228607</v>
          </cell>
          <cell r="I60">
            <v>-25297.514914149524</v>
          </cell>
          <cell r="J60">
            <v>-18819.056882349472</v>
          </cell>
          <cell r="K60">
            <v>-37249.417202953446</v>
          </cell>
          <cell r="L60">
            <v>-18722.129707938082</v>
          </cell>
          <cell r="M60">
            <v>-27092.151444489424</v>
          </cell>
          <cell r="N60">
            <v>-16273.824743766039</v>
          </cell>
          <cell r="O60">
            <v>-24269.435721349662</v>
          </cell>
          <cell r="P60">
            <v>-37888.672887476292</v>
          </cell>
          <cell r="Q60">
            <v>-18235.725313631385</v>
          </cell>
          <cell r="R60">
            <v>-19408.616167423672</v>
          </cell>
          <cell r="S60">
            <v>-46244.544177958582</v>
          </cell>
          <cell r="T60">
            <v>-32736.807503541644</v>
          </cell>
          <cell r="U60">
            <v>-23590.327605079226</v>
          </cell>
          <cell r="V60">
            <v>-21837.548897386449</v>
          </cell>
          <cell r="W60">
            <v>-13666.608189720762</v>
          </cell>
          <cell r="X60">
            <v>-37776.587093012866</v>
          </cell>
          <cell r="Y60">
            <v>-19824.560758667725</v>
          </cell>
          <cell r="Z60">
            <v>-29968.453816065725</v>
          </cell>
          <cell r="AD60">
            <v>0</v>
          </cell>
          <cell r="AH60">
            <v>0</v>
          </cell>
          <cell r="AL60">
            <v>0</v>
          </cell>
          <cell r="AP60">
            <v>0</v>
          </cell>
          <cell r="AT60">
            <v>0</v>
          </cell>
          <cell r="AX60">
            <v>0</v>
          </cell>
          <cell r="AZ60">
            <v>-170668.44975749019</v>
          </cell>
          <cell r="BA60">
            <v>-191525.26331755781</v>
          </cell>
          <cell r="BB60">
            <v>-138993.12252218148</v>
          </cell>
          <cell r="BC60">
            <v>-121239.05797797056</v>
          </cell>
          <cell r="BE60">
            <v>-86487.861668461177</v>
          </cell>
          <cell r="BF60">
            <v>-83123.195833526988</v>
          </cell>
          <cell r="BG60">
            <v>-77342.508844803131</v>
          </cell>
          <cell r="BH60">
            <v>-50024.439097094706</v>
          </cell>
          <cell r="BI60">
            <v>-84180.588089028999</v>
          </cell>
          <cell r="BJ60">
            <v>-108402.06748403079</v>
          </cell>
          <cell r="BK60">
            <v>-61650.613677378336</v>
          </cell>
          <cell r="BL60">
            <v>-71214.618880875845</v>
          </cell>
          <cell r="BM60">
            <v>0</v>
          </cell>
          <cell r="BN60">
            <v>0</v>
          </cell>
          <cell r="BO60">
            <v>0</v>
          </cell>
          <cell r="BP60">
            <v>0</v>
          </cell>
          <cell r="BQ60">
            <v>0</v>
          </cell>
          <cell r="BR60">
            <v>0</v>
          </cell>
          <cell r="BS60">
            <v>0</v>
          </cell>
          <cell r="BT60">
            <v>0</v>
          </cell>
        </row>
        <row r="61">
          <cell r="C61">
            <v>-2031.4450200000001</v>
          </cell>
          <cell r="D61">
            <v>-2078.0950900000003</v>
          </cell>
          <cell r="E61">
            <v>-1789.3960423218441</v>
          </cell>
          <cell r="F61">
            <v>-1692.4189630448222</v>
          </cell>
          <cell r="G61">
            <v>-2111.6453300000003</v>
          </cell>
          <cell r="H61">
            <v>-2015.2006000000099</v>
          </cell>
          <cell r="I61">
            <v>-2393.4767402711459</v>
          </cell>
          <cell r="J61">
            <v>-2132.9168296314274</v>
          </cell>
          <cell r="K61">
            <v>-2041.57447</v>
          </cell>
          <cell r="L61">
            <v>-2321.4720400000001</v>
          </cell>
          <cell r="M61">
            <v>-1849.33641747351</v>
          </cell>
          <cell r="N61">
            <v>-1697.9139427851899</v>
          </cell>
          <cell r="O61">
            <v>-2904.1709999999998</v>
          </cell>
          <cell r="P61">
            <v>-2556.4912000000004</v>
          </cell>
          <cell r="Q61">
            <v>-3125.023040644202</v>
          </cell>
          <cell r="R61">
            <v>-1665.60764690169</v>
          </cell>
          <cell r="S61">
            <v>-2526.6190200000001</v>
          </cell>
          <cell r="T61">
            <v>-2111.3625400000001</v>
          </cell>
          <cell r="U61">
            <v>-2163.2897092180037</v>
          </cell>
          <cell r="V61">
            <v>-2233.6086368887522</v>
          </cell>
          <cell r="W61">
            <v>-2254.4667199999999</v>
          </cell>
          <cell r="X61">
            <v>-2518.35295</v>
          </cell>
          <cell r="Y61">
            <v>-1924.1037790300973</v>
          </cell>
          <cell r="Z61">
            <v>-2157.425743437404</v>
          </cell>
          <cell r="AD61">
            <v>0</v>
          </cell>
          <cell r="AH61">
            <v>0</v>
          </cell>
          <cell r="AL61">
            <v>0</v>
          </cell>
          <cell r="AP61">
            <v>0</v>
          </cell>
          <cell r="AT61">
            <v>0</v>
          </cell>
          <cell r="AX61">
            <v>0</v>
          </cell>
          <cell r="AZ61">
            <v>-13869.921560000001</v>
          </cell>
          <cell r="BA61">
            <v>-13600.974420000011</v>
          </cell>
          <cell r="BB61">
            <v>-13244.625728958803</v>
          </cell>
          <cell r="BC61">
            <v>-11579.891762689287</v>
          </cell>
          <cell r="BE61">
            <v>-6184.66482</v>
          </cell>
          <cell r="BF61">
            <v>-6414.7677300000105</v>
          </cell>
          <cell r="BG61">
            <v>-6032.2092000664998</v>
          </cell>
          <cell r="BH61">
            <v>-5523.2497354614397</v>
          </cell>
          <cell r="BI61">
            <v>-7685.2567400000007</v>
          </cell>
          <cell r="BJ61">
            <v>-7186.2066900000009</v>
          </cell>
          <cell r="BK61">
            <v>-7212.4165288923023</v>
          </cell>
          <cell r="BL61">
            <v>-6056.6420272278465</v>
          </cell>
          <cell r="BM61">
            <v>0</v>
          </cell>
          <cell r="BN61">
            <v>0</v>
          </cell>
          <cell r="BO61">
            <v>0</v>
          </cell>
          <cell r="BP61">
            <v>0</v>
          </cell>
          <cell r="BQ61">
            <v>0</v>
          </cell>
          <cell r="BR61">
            <v>0</v>
          </cell>
          <cell r="BS61">
            <v>0</v>
          </cell>
          <cell r="BT61">
            <v>0</v>
          </cell>
        </row>
        <row r="62">
          <cell r="C62">
            <v>-1147064.3194811998</v>
          </cell>
          <cell r="D62">
            <v>-1045551.386725027</v>
          </cell>
          <cell r="E62">
            <v>-933618.37985880568</v>
          </cell>
          <cell r="F62">
            <v>-684397.5971447879</v>
          </cell>
          <cell r="G62">
            <v>-1053487.3400299998</v>
          </cell>
          <cell r="H62">
            <v>-968769.74028858263</v>
          </cell>
          <cell r="I62">
            <v>-838208.43021098233</v>
          </cell>
          <cell r="J62">
            <v>-658880.00658713409</v>
          </cell>
          <cell r="K62">
            <v>-1094213.1001500001</v>
          </cell>
          <cell r="L62">
            <v>-1050492.5063079828</v>
          </cell>
          <cell r="M62">
            <v>-792336.06513786525</v>
          </cell>
          <cell r="N62">
            <v>-765228.57291040989</v>
          </cell>
          <cell r="O62">
            <v>-1062266.9917621999</v>
          </cell>
          <cell r="P62">
            <v>-1020483.9052283659</v>
          </cell>
          <cell r="Q62">
            <v>-799906.14854908094</v>
          </cell>
          <cell r="R62">
            <v>-705356.0194682068</v>
          </cell>
          <cell r="S62">
            <v>-1028206.9840648003</v>
          </cell>
          <cell r="T62">
            <v>-1027148.7681478169</v>
          </cell>
          <cell r="U62">
            <v>-844923.20251525275</v>
          </cell>
          <cell r="V62">
            <v>-705815.8587141193</v>
          </cell>
          <cell r="W62">
            <v>-969077.92364149238</v>
          </cell>
          <cell r="X62">
            <v>-984734.08906148979</v>
          </cell>
          <cell r="Y62">
            <v>-750807.18841855775</v>
          </cell>
          <cell r="Z62">
            <v>-698154.88874935964</v>
          </cell>
          <cell r="AD62">
            <v>0</v>
          </cell>
          <cell r="AH62">
            <v>0</v>
          </cell>
          <cell r="AL62">
            <v>0</v>
          </cell>
          <cell r="AP62">
            <v>0</v>
          </cell>
          <cell r="AT62">
            <v>0</v>
          </cell>
          <cell r="AX62">
            <v>0</v>
          </cell>
          <cell r="AZ62">
            <v>-6354316.6591296932</v>
          </cell>
          <cell r="BA62">
            <v>-6097180.3957592659</v>
          </cell>
          <cell r="BB62">
            <v>-4959799.4146905448</v>
          </cell>
          <cell r="BC62">
            <v>-4217832.9435740178</v>
          </cell>
          <cell r="BE62">
            <v>-3294763.7596612</v>
          </cell>
          <cell r="BF62">
            <v>-3064814.6333215921</v>
          </cell>
          <cell r="BG62">
            <v>-2564162.8752076533</v>
          </cell>
          <cell r="BH62">
            <v>-2108506.1766423322</v>
          </cell>
          <cell r="BI62">
            <v>-3059552.8994684927</v>
          </cell>
          <cell r="BJ62">
            <v>-3032365.7624376724</v>
          </cell>
          <cell r="BK62">
            <v>-2395636.5394828916</v>
          </cell>
          <cell r="BL62">
            <v>-2109326.7669316852</v>
          </cell>
          <cell r="BM62">
            <v>0</v>
          </cell>
          <cell r="BN62">
            <v>0</v>
          </cell>
          <cell r="BO62">
            <v>0</v>
          </cell>
          <cell r="BP62">
            <v>0</v>
          </cell>
          <cell r="BQ62">
            <v>0</v>
          </cell>
          <cell r="BR62">
            <v>0</v>
          </cell>
          <cell r="BS62">
            <v>0</v>
          </cell>
          <cell r="BT62">
            <v>0</v>
          </cell>
        </row>
        <row r="64">
          <cell r="C64">
            <v>84954.514338801149</v>
          </cell>
          <cell r="D64">
            <v>128536.38810497301</v>
          </cell>
          <cell r="E64">
            <v>160389.23393007938</v>
          </cell>
          <cell r="F64">
            <v>166811.6924966065</v>
          </cell>
          <cell r="G64">
            <v>-12035.471450001933</v>
          </cell>
          <cell r="H64">
            <v>-7286.9018085823627</v>
          </cell>
          <cell r="I64">
            <v>46436.952833091491</v>
          </cell>
          <cell r="J64">
            <v>62214.534528861637</v>
          </cell>
          <cell r="K64">
            <v>41284.820959999925</v>
          </cell>
          <cell r="L64">
            <v>-8628.6437779827975</v>
          </cell>
          <cell r="M64">
            <v>20152.644261499285</v>
          </cell>
          <cell r="N64">
            <v>-9916.1989001708571</v>
          </cell>
          <cell r="O64">
            <v>7189.8492978001013</v>
          </cell>
          <cell r="P64">
            <v>9870.5800016322173</v>
          </cell>
          <cell r="Q64">
            <v>14576.068917628611</v>
          </cell>
          <cell r="R64">
            <v>-13470.866465152241</v>
          </cell>
          <cell r="S64">
            <v>-22145.147614798392</v>
          </cell>
          <cell r="T64">
            <v>-8942.6815378157189</v>
          </cell>
          <cell r="U64">
            <v>3379.5048723596847</v>
          </cell>
          <cell r="V64">
            <v>6434.9252229294507</v>
          </cell>
          <cell r="W64">
            <v>54314.287298506708</v>
          </cell>
          <cell r="X64">
            <v>14434.006488511804</v>
          </cell>
          <cell r="Y64">
            <v>-738.41132166632451</v>
          </cell>
          <cell r="Z64">
            <v>8343.058570553083</v>
          </cell>
          <cell r="AD64">
            <v>0</v>
          </cell>
          <cell r="AH64">
            <v>0</v>
          </cell>
          <cell r="AL64">
            <v>0</v>
          </cell>
          <cell r="AP64">
            <v>0</v>
          </cell>
          <cell r="AT64">
            <v>0</v>
          </cell>
          <cell r="AX64">
            <v>0</v>
          </cell>
          <cell r="AZ64">
            <v>153561.85283030756</v>
          </cell>
          <cell r="BA64">
            <v>127982.74747073557</v>
          </cell>
          <cell r="BB64">
            <v>244195.99349299166</v>
          </cell>
          <cell r="BC64">
            <v>220417.14545362722</v>
          </cell>
          <cell r="BE64">
            <v>114202.86384879891</v>
          </cell>
          <cell r="BF64">
            <v>112620.84251840832</v>
          </cell>
          <cell r="BG64">
            <v>226978.83102467004</v>
          </cell>
          <cell r="BH64">
            <v>219110.02812529681</v>
          </cell>
          <cell r="BI64">
            <v>39357.98898150865</v>
          </cell>
          <cell r="BJ64">
            <v>15362.904952328186</v>
          </cell>
          <cell r="BK64">
            <v>17217.162468321621</v>
          </cell>
          <cell r="BL64">
            <v>1307.1173283308744</v>
          </cell>
          <cell r="BM64">
            <v>0</v>
          </cell>
          <cell r="BN64">
            <v>0</v>
          </cell>
          <cell r="BO64">
            <v>0</v>
          </cell>
          <cell r="BP64">
            <v>0</v>
          </cell>
          <cell r="BQ64">
            <v>0</v>
          </cell>
          <cell r="BR64">
            <v>0</v>
          </cell>
          <cell r="BS64">
            <v>0</v>
          </cell>
          <cell r="BT64">
            <v>0</v>
          </cell>
        </row>
        <row r="66">
          <cell r="C66">
            <v>67516.636792107951</v>
          </cell>
          <cell r="D66">
            <v>-117279.90422521769</v>
          </cell>
          <cell r="E66">
            <v>-43110.175962114947</v>
          </cell>
          <cell r="F66">
            <v>-92462.557630912081</v>
          </cell>
          <cell r="G66">
            <v>-27023.736031295899</v>
          </cell>
          <cell r="H66">
            <v>45413.280335215037</v>
          </cell>
          <cell r="I66">
            <v>-94907.973547035741</v>
          </cell>
          <cell r="J66">
            <v>-64863.728290969797</v>
          </cell>
          <cell r="K66">
            <v>-83338.953517526854</v>
          </cell>
          <cell r="L66">
            <v>-67279.292185449332</v>
          </cell>
          <cell r="M66">
            <v>-136789.67583432884</v>
          </cell>
          <cell r="N66">
            <v>136576.23412443581</v>
          </cell>
          <cell r="O66">
            <v>537.71182010469784</v>
          </cell>
          <cell r="P66">
            <v>17476.629894435002</v>
          </cell>
          <cell r="Q66">
            <v>47078.899371951564</v>
          </cell>
          <cell r="R66">
            <v>7986.4440420399333</v>
          </cell>
          <cell r="S66">
            <v>-273974.17617750878</v>
          </cell>
          <cell r="T66">
            <v>-23445.557003052098</v>
          </cell>
          <cell r="U66">
            <v>-87594.340613202017</v>
          </cell>
          <cell r="V66">
            <v>-107021.66303540967</v>
          </cell>
          <cell r="W66">
            <v>-219462.78332692085</v>
          </cell>
          <cell r="X66">
            <v>-47887.64846318958</v>
          </cell>
          <cell r="Y66">
            <v>-36121.912661893715</v>
          </cell>
          <cell r="Z66">
            <v>75037.091553438251</v>
          </cell>
          <cell r="AD66">
            <v>0</v>
          </cell>
          <cell r="AH66">
            <v>0</v>
          </cell>
          <cell r="AL66">
            <v>0</v>
          </cell>
          <cell r="AP66">
            <v>0</v>
          </cell>
          <cell r="AT66">
            <v>0</v>
          </cell>
          <cell r="AX66">
            <v>0</v>
          </cell>
          <cell r="AZ66">
            <v>-535746.30044103973</v>
          </cell>
          <cell r="BA66">
            <v>-193002.49164725863</v>
          </cell>
          <cell r="BB66">
            <v>-351445.17924662371</v>
          </cell>
          <cell r="BC66">
            <v>-44748.179237377568</v>
          </cell>
          <cell r="BE66">
            <v>-42847.052756714795</v>
          </cell>
          <cell r="BF66">
            <v>-139143.91607545197</v>
          </cell>
          <cell r="BG66">
            <v>-274807.82534347952</v>
          </cell>
          <cell r="BH66">
            <v>-20750.051797446067</v>
          </cell>
          <cell r="BI66">
            <v>-492899.24768432492</v>
          </cell>
          <cell r="BJ66">
            <v>-53858.575571806672</v>
          </cell>
          <cell r="BK66">
            <v>-76637.353903144176</v>
          </cell>
          <cell r="BL66">
            <v>-23998.127439931501</v>
          </cell>
          <cell r="BM66">
            <v>0</v>
          </cell>
          <cell r="BN66">
            <v>0</v>
          </cell>
          <cell r="BO66">
            <v>0</v>
          </cell>
          <cell r="BP66">
            <v>0</v>
          </cell>
          <cell r="BQ66">
            <v>0</v>
          </cell>
          <cell r="BR66">
            <v>0</v>
          </cell>
          <cell r="BS66">
            <v>0</v>
          </cell>
          <cell r="BT66">
            <v>0</v>
          </cell>
        </row>
        <row r="67">
          <cell r="C67">
            <v>8107.9792799999996</v>
          </cell>
          <cell r="D67">
            <v>6833.0303200000017</v>
          </cell>
          <cell r="E67">
            <v>8473.6711038979793</v>
          </cell>
          <cell r="F67">
            <v>7855.4326091858347</v>
          </cell>
          <cell r="G67">
            <v>893.11822000000097</v>
          </cell>
          <cell r="H67">
            <v>5729.1087400000015</v>
          </cell>
          <cell r="I67">
            <v>7139.0654756805807</v>
          </cell>
          <cell r="J67">
            <v>19135.313419667284</v>
          </cell>
          <cell r="K67">
            <v>20825.384580000002</v>
          </cell>
          <cell r="L67">
            <v>6979.2100100000007</v>
          </cell>
          <cell r="M67">
            <v>2877.5867556155599</v>
          </cell>
          <cell r="N67">
            <v>-16126.568462750301</v>
          </cell>
          <cell r="O67">
            <v>2249.6027000000004</v>
          </cell>
          <cell r="P67">
            <v>10319.558079999999</v>
          </cell>
          <cell r="Q67">
            <v>2236.3339246853302</v>
          </cell>
          <cell r="R67">
            <v>4020.47811614276</v>
          </cell>
          <cell r="S67">
            <v>3354.56574000001</v>
          </cell>
          <cell r="T67">
            <v>8032.5658399999993</v>
          </cell>
          <cell r="U67">
            <v>5842.9336129225103</v>
          </cell>
          <cell r="V67">
            <v>7923.8082165952001</v>
          </cell>
          <cell r="W67">
            <v>4317.2405853399896</v>
          </cell>
          <cell r="X67">
            <v>7355.435919999999</v>
          </cell>
          <cell r="Y67">
            <v>5314.3339092266497</v>
          </cell>
          <cell r="Z67">
            <v>8609.778007024599</v>
          </cell>
          <cell r="AD67">
            <v>0</v>
          </cell>
          <cell r="AH67">
            <v>0</v>
          </cell>
          <cell r="AL67">
            <v>0</v>
          </cell>
          <cell r="AP67">
            <v>0</v>
          </cell>
          <cell r="AT67">
            <v>0</v>
          </cell>
          <cell r="AX67">
            <v>0</v>
          </cell>
          <cell r="AZ67">
            <v>39747.891105340001</v>
          </cell>
          <cell r="BA67">
            <v>45248.908909999998</v>
          </cell>
          <cell r="BB67">
            <v>31883.924782028615</v>
          </cell>
          <cell r="BC67">
            <v>31418.241905865376</v>
          </cell>
          <cell r="BE67">
            <v>29826.482080000002</v>
          </cell>
          <cell r="BF67">
            <v>19541.349070000004</v>
          </cell>
          <cell r="BG67">
            <v>18490.32333519412</v>
          </cell>
          <cell r="BH67">
            <v>10864.177566102817</v>
          </cell>
          <cell r="BI67">
            <v>9921.4090253399991</v>
          </cell>
          <cell r="BJ67">
            <v>25707.559839999998</v>
          </cell>
          <cell r="BK67">
            <v>13393.601446834491</v>
          </cell>
          <cell r="BL67">
            <v>20554.064339762561</v>
          </cell>
          <cell r="BM67">
            <v>0</v>
          </cell>
          <cell r="BN67">
            <v>0</v>
          </cell>
          <cell r="BO67">
            <v>0</v>
          </cell>
          <cell r="BP67">
            <v>0</v>
          </cell>
          <cell r="BQ67">
            <v>0</v>
          </cell>
          <cell r="BR67">
            <v>0</v>
          </cell>
          <cell r="BS67">
            <v>0</v>
          </cell>
          <cell r="BT67">
            <v>0</v>
          </cell>
        </row>
        <row r="68">
          <cell r="C68">
            <v>-47760.685150000005</v>
          </cell>
          <cell r="D68">
            <v>-34408.85039</v>
          </cell>
          <cell r="E68">
            <v>-38514.256276740496</v>
          </cell>
          <cell r="F68">
            <v>-33027.781077738415</v>
          </cell>
          <cell r="G68">
            <v>-35457.896460000004</v>
          </cell>
          <cell r="H68">
            <v>-37708.346649999999</v>
          </cell>
          <cell r="I68">
            <v>-22465.917233068398</v>
          </cell>
          <cell r="J68">
            <v>-32876.840860156546</v>
          </cell>
          <cell r="K68">
            <v>-26956.608619999999</v>
          </cell>
          <cell r="L68">
            <v>-59266.629220000003</v>
          </cell>
          <cell r="M68">
            <v>-34353.344028775602</v>
          </cell>
          <cell r="N68">
            <v>-37143.594637842201</v>
          </cell>
          <cell r="O68">
            <v>-38060.208220000008</v>
          </cell>
          <cell r="P68">
            <v>-32988.95549</v>
          </cell>
          <cell r="Q68">
            <v>-31356.173867603498</v>
          </cell>
          <cell r="R68">
            <v>-33752.095120317601</v>
          </cell>
          <cell r="S68">
            <v>-40398.044630000004</v>
          </cell>
          <cell r="T68">
            <v>-32114.30761</v>
          </cell>
          <cell r="U68">
            <v>-33881.6640683183</v>
          </cell>
          <cell r="V68">
            <v>-33811.119894340096</v>
          </cell>
          <cell r="W68">
            <v>-37792.516790000001</v>
          </cell>
          <cell r="X68">
            <v>-47931.471550000002</v>
          </cell>
          <cell r="Y68">
            <v>-45012.001898190603</v>
          </cell>
          <cell r="Z68">
            <v>-36020.269686613705</v>
          </cell>
          <cell r="AD68">
            <v>0</v>
          </cell>
          <cell r="AH68">
            <v>0</v>
          </cell>
          <cell r="AL68">
            <v>0</v>
          </cell>
          <cell r="AP68">
            <v>0</v>
          </cell>
          <cell r="AT68">
            <v>0</v>
          </cell>
          <cell r="AX68">
            <v>0</v>
          </cell>
          <cell r="AZ68">
            <v>-226425.95986999999</v>
          </cell>
          <cell r="BA68">
            <v>-244418.56091</v>
          </cell>
          <cell r="BB68">
            <v>-205583.35737269692</v>
          </cell>
          <cell r="BC68">
            <v>-206631.70127700857</v>
          </cell>
          <cell r="BE68">
            <v>-110175.19023000001</v>
          </cell>
          <cell r="BF68">
            <v>-131383.82626</v>
          </cell>
          <cell r="BG68">
            <v>-95333.517538584507</v>
          </cell>
          <cell r="BH68">
            <v>-103048.21657573717</v>
          </cell>
          <cell r="BI68">
            <v>-116250.76964000001</v>
          </cell>
          <cell r="BJ68">
            <v>-113034.73465</v>
          </cell>
          <cell r="BK68">
            <v>-110249.8398341124</v>
          </cell>
          <cell r="BL68">
            <v>-103583.4847012714</v>
          </cell>
          <cell r="BM68">
            <v>0</v>
          </cell>
          <cell r="BN68">
            <v>0</v>
          </cell>
          <cell r="BO68">
            <v>0</v>
          </cell>
          <cell r="BP68">
            <v>0</v>
          </cell>
          <cell r="BQ68">
            <v>0</v>
          </cell>
          <cell r="BR68">
            <v>0</v>
          </cell>
          <cell r="BS68">
            <v>0</v>
          </cell>
          <cell r="BT68">
            <v>0</v>
          </cell>
        </row>
        <row r="69">
          <cell r="C69">
            <v>107169.34266210796</v>
          </cell>
          <cell r="D69">
            <v>-89704.084155217686</v>
          </cell>
          <cell r="E69">
            <v>-13069.590789272428</v>
          </cell>
          <cell r="F69">
            <v>-67290.209162359504</v>
          </cell>
          <cell r="G69">
            <v>7541.0422087041024</v>
          </cell>
          <cell r="H69">
            <v>77392.518245215033</v>
          </cell>
          <cell r="I69">
            <v>-79581.121789647921</v>
          </cell>
          <cell r="J69">
            <v>-51122.200850480534</v>
          </cell>
          <cell r="K69">
            <v>-77208.729477526853</v>
          </cell>
          <cell r="L69">
            <v>-14989.8729754493</v>
          </cell>
          <cell r="M69">
            <v>-105313.91856116879</v>
          </cell>
          <cell r="N69">
            <v>189846.39722502831</v>
          </cell>
          <cell r="O69">
            <v>36348.317340104702</v>
          </cell>
          <cell r="P69">
            <v>40146.027304435003</v>
          </cell>
          <cell r="Q69">
            <v>76198.73931486973</v>
          </cell>
          <cell r="R69">
            <v>37718.061046214774</v>
          </cell>
          <cell r="S69">
            <v>-236930.69728750878</v>
          </cell>
          <cell r="T69">
            <v>636.18476694790184</v>
          </cell>
          <cell r="U69">
            <v>-59555.61015780623</v>
          </cell>
          <cell r="V69">
            <v>-81134.351357664782</v>
          </cell>
          <cell r="W69">
            <v>-185987.50712226084</v>
          </cell>
          <cell r="X69">
            <v>-7313.6128331895798</v>
          </cell>
          <cell r="Y69">
            <v>3575.7553270702306</v>
          </cell>
          <cell r="Z69">
            <v>102447.58323302736</v>
          </cell>
          <cell r="AD69">
            <v>0</v>
          </cell>
          <cell r="AH69">
            <v>0</v>
          </cell>
          <cell r="AL69">
            <v>0</v>
          </cell>
          <cell r="AP69">
            <v>0</v>
          </cell>
          <cell r="AT69">
            <v>0</v>
          </cell>
          <cell r="AX69">
            <v>0</v>
          </cell>
          <cell r="AZ69">
            <v>-349068.23167637968</v>
          </cell>
          <cell r="BA69">
            <v>6167.1603527413718</v>
          </cell>
          <cell r="BB69">
            <v>-177745.74665595542</v>
          </cell>
          <cell r="BC69">
            <v>130465.28013376563</v>
          </cell>
          <cell r="BE69">
            <v>37501.655393285211</v>
          </cell>
          <cell r="BF69">
            <v>-27301.438885451953</v>
          </cell>
          <cell r="BG69">
            <v>-197964.63114008913</v>
          </cell>
          <cell r="BH69">
            <v>71433.98721218828</v>
          </cell>
          <cell r="BI69">
            <v>-386569.8870696649</v>
          </cell>
          <cell r="BJ69">
            <v>33468.599238193325</v>
          </cell>
          <cell r="BK69">
            <v>20218.88448413373</v>
          </cell>
          <cell r="BL69">
            <v>59031.292921577347</v>
          </cell>
          <cell r="BM69">
            <v>0</v>
          </cell>
          <cell r="BN69">
            <v>0</v>
          </cell>
          <cell r="BO69">
            <v>0</v>
          </cell>
          <cell r="BP69">
            <v>0</v>
          </cell>
          <cell r="BQ69">
            <v>0</v>
          </cell>
          <cell r="BR69">
            <v>0</v>
          </cell>
          <cell r="BS69">
            <v>0</v>
          </cell>
          <cell r="BT69">
            <v>0</v>
          </cell>
        </row>
        <row r="71">
          <cell r="C71">
            <v>152471.1511309091</v>
          </cell>
          <cell r="D71">
            <v>11256.483879755324</v>
          </cell>
          <cell r="E71">
            <v>117279.05796796444</v>
          </cell>
          <cell r="F71">
            <v>74349.134865694417</v>
          </cell>
          <cell r="G71">
            <v>-39059.207481297832</v>
          </cell>
          <cell r="H71">
            <v>38126.378526632674</v>
          </cell>
          <cell r="I71">
            <v>-48471.02071394425</v>
          </cell>
          <cell r="J71">
            <v>-2649.1937621081597</v>
          </cell>
          <cell r="K71">
            <v>-42054.132557526929</v>
          </cell>
          <cell r="L71">
            <v>-75907.93596343213</v>
          </cell>
          <cell r="M71">
            <v>-116637.03157282955</v>
          </cell>
          <cell r="N71">
            <v>126660.03522426495</v>
          </cell>
          <cell r="O71">
            <v>7727.5611179047992</v>
          </cell>
          <cell r="P71">
            <v>27347.209896067219</v>
          </cell>
          <cell r="Q71">
            <v>61654.968289580174</v>
          </cell>
          <cell r="R71">
            <v>-5484.422423112308</v>
          </cell>
          <cell r="S71">
            <v>-296119.32379230717</v>
          </cell>
          <cell r="T71">
            <v>-32388.238540867816</v>
          </cell>
          <cell r="U71">
            <v>-84214.835740842333</v>
          </cell>
          <cell r="V71">
            <v>-100586.73781248022</v>
          </cell>
          <cell r="W71">
            <v>-165148.49602841414</v>
          </cell>
          <cell r="X71">
            <v>-33453.641974677776</v>
          </cell>
          <cell r="Y71">
            <v>-36860.32398356004</v>
          </cell>
          <cell r="Z71">
            <v>83380.150123991334</v>
          </cell>
          <cell r="AD71">
            <v>0</v>
          </cell>
          <cell r="AH71">
            <v>0</v>
          </cell>
          <cell r="AL71">
            <v>0</v>
          </cell>
          <cell r="AP71">
            <v>0</v>
          </cell>
          <cell r="AT71">
            <v>0</v>
          </cell>
          <cell r="AX71">
            <v>0</v>
          </cell>
          <cell r="AZ71">
            <v>-382184.44761073217</v>
          </cell>
          <cell r="BA71">
            <v>-65019.744176523061</v>
          </cell>
          <cell r="BB71">
            <v>-107249.18575363205</v>
          </cell>
          <cell r="BC71">
            <v>175668.96621624965</v>
          </cell>
          <cell r="BE71">
            <v>71355.811092084114</v>
          </cell>
          <cell r="BF71">
            <v>-26523.073557043652</v>
          </cell>
          <cell r="BG71">
            <v>-47828.994318809477</v>
          </cell>
          <cell r="BH71">
            <v>198359.97632785075</v>
          </cell>
          <cell r="BI71">
            <v>-453541.25870281627</v>
          </cell>
          <cell r="BJ71">
            <v>-38495.670619478486</v>
          </cell>
          <cell r="BK71">
            <v>-59420.191434822555</v>
          </cell>
          <cell r="BL71">
            <v>-22691.010111600626</v>
          </cell>
          <cell r="BM71">
            <v>0</v>
          </cell>
          <cell r="BN71">
            <v>0</v>
          </cell>
          <cell r="BO71">
            <v>0</v>
          </cell>
          <cell r="BP71">
            <v>0</v>
          </cell>
          <cell r="BQ71">
            <v>0</v>
          </cell>
          <cell r="BR71">
            <v>0</v>
          </cell>
          <cell r="BS71">
            <v>0</v>
          </cell>
          <cell r="BT71">
            <v>0</v>
          </cell>
        </row>
        <row r="73">
          <cell r="C73">
            <v>-2587.2420236862149</v>
          </cell>
          <cell r="D73">
            <v>-3709.5708737832879</v>
          </cell>
          <cell r="E73">
            <v>-8530.2845083583288</v>
          </cell>
          <cell r="F73">
            <v>-6545.2695187869276</v>
          </cell>
          <cell r="G73">
            <v>2725.3131396216199</v>
          </cell>
          <cell r="H73">
            <v>351.06534625747008</v>
          </cell>
          <cell r="I73">
            <v>-8418.0639063145209</v>
          </cell>
          <cell r="J73">
            <v>-4071.7481250240835</v>
          </cell>
          <cell r="K73">
            <v>4124.9869679926405</v>
          </cell>
          <cell r="L73">
            <v>1009.4781912054</v>
          </cell>
          <cell r="M73">
            <v>1276.2721207208301</v>
          </cell>
          <cell r="N73">
            <v>-3206.6453151952096</v>
          </cell>
          <cell r="O73">
            <v>-5422.5143057770601</v>
          </cell>
          <cell r="P73">
            <v>165.5302191469199</v>
          </cell>
          <cell r="Q73">
            <v>-3735.7296576732401</v>
          </cell>
          <cell r="R73">
            <v>-2561.7251980593201</v>
          </cell>
          <cell r="S73">
            <v>-2867.2959263723305</v>
          </cell>
          <cell r="T73">
            <v>304.90323352759003</v>
          </cell>
          <cell r="U73">
            <v>-4785.0699974997096</v>
          </cell>
          <cell r="V73">
            <v>-3636.0645361243101</v>
          </cell>
          <cell r="W73">
            <v>1305.0503567422402</v>
          </cell>
          <cell r="X73">
            <v>-4452.9149174169897</v>
          </cell>
          <cell r="Y73">
            <v>4813.6697830923003</v>
          </cell>
          <cell r="Z73">
            <v>-613.68428412447304</v>
          </cell>
          <cell r="AD73">
            <v>0</v>
          </cell>
          <cell r="AH73">
            <v>0</v>
          </cell>
          <cell r="AL73">
            <v>0</v>
          </cell>
          <cell r="AP73">
            <v>0</v>
          </cell>
          <cell r="AT73">
            <v>0</v>
          </cell>
          <cell r="AX73">
            <v>0</v>
          </cell>
          <cell r="AZ73">
            <v>-2721.7017914791049</v>
          </cell>
          <cell r="BA73">
            <v>-6331.508801062897</v>
          </cell>
          <cell r="BB73">
            <v>-19379.206166032673</v>
          </cell>
          <cell r="BC73">
            <v>-20635.136977314323</v>
          </cell>
          <cell r="BE73">
            <v>4263.0580839280456</v>
          </cell>
          <cell r="BF73">
            <v>-2349.0273363204178</v>
          </cell>
          <cell r="BG73">
            <v>-15672.076293952021</v>
          </cell>
          <cell r="BH73">
            <v>-13823.66295900622</v>
          </cell>
          <cell r="BI73">
            <v>-6984.7598754071496</v>
          </cell>
          <cell r="BJ73">
            <v>-3982.4814647424801</v>
          </cell>
          <cell r="BK73">
            <v>-3707.1298720806499</v>
          </cell>
          <cell r="BL73">
            <v>-6811.474018308104</v>
          </cell>
          <cell r="BM73">
            <v>0</v>
          </cell>
          <cell r="BN73">
            <v>0</v>
          </cell>
          <cell r="BO73">
            <v>0</v>
          </cell>
          <cell r="BP73">
            <v>0</v>
          </cell>
          <cell r="BQ73">
            <v>0</v>
          </cell>
          <cell r="BR73">
            <v>0</v>
          </cell>
          <cell r="BS73">
            <v>0</v>
          </cell>
          <cell r="BT73">
            <v>0</v>
          </cell>
        </row>
        <row r="75">
          <cell r="C75">
            <v>149883.90910722289</v>
          </cell>
          <cell r="D75">
            <v>7546.9130059720355</v>
          </cell>
          <cell r="E75">
            <v>108748.77345960612</v>
          </cell>
          <cell r="F75">
            <v>67803.865346907492</v>
          </cell>
          <cell r="G75">
            <v>-36333.894341676212</v>
          </cell>
          <cell r="H75">
            <v>38477.443872890144</v>
          </cell>
          <cell r="I75">
            <v>-56889.084620258771</v>
          </cell>
          <cell r="J75">
            <v>-6720.9418871322432</v>
          </cell>
          <cell r="K75">
            <v>-37929.145589534288</v>
          </cell>
          <cell r="L75">
            <v>-74899.457772226728</v>
          </cell>
          <cell r="M75">
            <v>-115360.75945210873</v>
          </cell>
          <cell r="N75">
            <v>123453.38990906974</v>
          </cell>
          <cell r="O75">
            <v>2305.046812127739</v>
          </cell>
          <cell r="P75">
            <v>27512.740115214139</v>
          </cell>
          <cell r="Q75">
            <v>57919.238631906934</v>
          </cell>
          <cell r="R75">
            <v>-8046.1476211716281</v>
          </cell>
          <cell r="S75">
            <v>-298986.61971867952</v>
          </cell>
          <cell r="T75">
            <v>-32083.335307340225</v>
          </cell>
          <cell r="U75">
            <v>-88999.905738342044</v>
          </cell>
          <cell r="V75">
            <v>-104222.80234860453</v>
          </cell>
          <cell r="W75">
            <v>-163843.44567167191</v>
          </cell>
          <cell r="X75">
            <v>-37905.556892094763</v>
          </cell>
          <cell r="Y75">
            <v>-32046.654200467739</v>
          </cell>
          <cell r="Z75">
            <v>82766.465839866854</v>
          </cell>
          <cell r="AD75">
            <v>0</v>
          </cell>
          <cell r="AH75">
            <v>0</v>
          </cell>
          <cell r="AL75">
            <v>0</v>
          </cell>
          <cell r="AP75">
            <v>0</v>
          </cell>
          <cell r="AT75">
            <v>0</v>
          </cell>
          <cell r="AX75">
            <v>0</v>
          </cell>
          <cell r="AZ75">
            <v>-384906.14940221125</v>
          </cell>
          <cell r="BA75">
            <v>-71351.252977585958</v>
          </cell>
          <cell r="BB75">
            <v>-126628.39191966472</v>
          </cell>
          <cell r="BC75">
            <v>155033.82923893532</v>
          </cell>
          <cell r="BE75">
            <v>75618.869176012158</v>
          </cell>
          <cell r="BF75">
            <v>-28872.10089336407</v>
          </cell>
          <cell r="BG75">
            <v>-63501.070612761498</v>
          </cell>
          <cell r="BH75">
            <v>184536.31336884454</v>
          </cell>
          <cell r="BI75">
            <v>-460526.01857822342</v>
          </cell>
          <cell r="BJ75">
            <v>-42478.152084220965</v>
          </cell>
          <cell r="BK75">
            <v>-63127.321306903206</v>
          </cell>
          <cell r="BL75">
            <v>-29502.484129908731</v>
          </cell>
          <cell r="BM75">
            <v>0</v>
          </cell>
          <cell r="BN75">
            <v>0</v>
          </cell>
          <cell r="BO75">
            <v>0</v>
          </cell>
          <cell r="BP75">
            <v>0</v>
          </cell>
          <cell r="BQ75">
            <v>0</v>
          </cell>
          <cell r="BR75">
            <v>0</v>
          </cell>
          <cell r="BS75">
            <v>0</v>
          </cell>
          <cell r="BT75">
            <v>0</v>
          </cell>
        </row>
        <row r="77">
          <cell r="C77">
            <v>-54093.090490000002</v>
          </cell>
          <cell r="D77">
            <v>5069.1697268310209</v>
          </cell>
          <cell r="E77">
            <v>-44270.761731721999</v>
          </cell>
          <cell r="F77">
            <v>-23316.843486325968</v>
          </cell>
          <cell r="G77">
            <v>7129.9192499999899</v>
          </cell>
          <cell r="H77">
            <v>-34412.235110000001</v>
          </cell>
          <cell r="I77">
            <v>29371.159931592247</v>
          </cell>
          <cell r="J77">
            <v>1489.8350001128144</v>
          </cell>
          <cell r="K77">
            <v>14090.460210000001</v>
          </cell>
          <cell r="L77">
            <v>16884.143345400011</v>
          </cell>
          <cell r="M77">
            <v>38452.977400275398</v>
          </cell>
          <cell r="N77">
            <v>-60499.510805133606</v>
          </cell>
          <cell r="O77">
            <v>-5821.0870700000005</v>
          </cell>
          <cell r="P77">
            <v>-18517.653130000002</v>
          </cell>
          <cell r="Q77">
            <v>-26367.218688433302</v>
          </cell>
          <cell r="R77">
            <v>-19318.130043098899</v>
          </cell>
          <cell r="S77">
            <v>92314.917760000011</v>
          </cell>
          <cell r="T77">
            <v>4431.4476199999899</v>
          </cell>
          <cell r="U77">
            <v>29939.591472434098</v>
          </cell>
          <cell r="V77">
            <v>-4422.9247525644396</v>
          </cell>
          <cell r="W77">
            <v>44201.328030000004</v>
          </cell>
          <cell r="X77">
            <v>-2346.2342799999901</v>
          </cell>
          <cell r="Y77">
            <v>9827.71189943022</v>
          </cell>
          <cell r="Z77">
            <v>-38830.969815717304</v>
          </cell>
          <cell r="AD77">
            <v>0</v>
          </cell>
          <cell r="AH77">
            <v>0</v>
          </cell>
          <cell r="AL77">
            <v>0</v>
          </cell>
          <cell r="AP77">
            <v>0</v>
          </cell>
          <cell r="AT77">
            <v>0</v>
          </cell>
          <cell r="AX77">
            <v>0</v>
          </cell>
          <cell r="AZ77">
            <v>97822.447690000001</v>
          </cell>
          <cell r="BA77">
            <v>-28891.361827768975</v>
          </cell>
          <cell r="BB77">
            <v>36953.460283576664</v>
          </cell>
          <cell r="BC77">
            <v>-144898.5439027274</v>
          </cell>
          <cell r="BE77">
            <v>-32872.711030000006</v>
          </cell>
          <cell r="BF77">
            <v>-12458.922037768971</v>
          </cell>
          <cell r="BG77">
            <v>23553.375600145646</v>
          </cell>
          <cell r="BH77">
            <v>-82326.519291346762</v>
          </cell>
          <cell r="BI77">
            <v>130695.15872000002</v>
          </cell>
          <cell r="BJ77">
            <v>-16432.439790000004</v>
          </cell>
          <cell r="BK77">
            <v>13400.084683431016</v>
          </cell>
          <cell r="BL77">
            <v>-62572.024611380642</v>
          </cell>
          <cell r="BM77">
            <v>0</v>
          </cell>
          <cell r="BN77">
            <v>0</v>
          </cell>
          <cell r="BO77">
            <v>0</v>
          </cell>
          <cell r="BP77">
            <v>0</v>
          </cell>
          <cell r="BQ77">
            <v>0</v>
          </cell>
          <cell r="BR77">
            <v>0</v>
          </cell>
          <cell r="BS77">
            <v>0</v>
          </cell>
          <cell r="BT77">
            <v>0</v>
          </cell>
        </row>
        <row r="79">
          <cell r="C79">
            <v>95790.818617222889</v>
          </cell>
          <cell r="D79">
            <v>12616.082732803057</v>
          </cell>
          <cell r="E79">
            <v>64478.011727884121</v>
          </cell>
          <cell r="F79">
            <v>44487.021860581524</v>
          </cell>
          <cell r="G79">
            <v>-29203.97509167622</v>
          </cell>
          <cell r="H79">
            <v>4065.2087628901427</v>
          </cell>
          <cell r="I79">
            <v>-27517.924688666524</v>
          </cell>
          <cell r="J79">
            <v>-5231.1068870194285</v>
          </cell>
          <cell r="K79">
            <v>-23838.685379534287</v>
          </cell>
          <cell r="L79">
            <v>-58015.314426826721</v>
          </cell>
          <cell r="M79">
            <v>-76907.782051833332</v>
          </cell>
          <cell r="N79">
            <v>62953.879103936131</v>
          </cell>
          <cell r="O79">
            <v>-3516.0402578722615</v>
          </cell>
          <cell r="P79">
            <v>8995.0869852141368</v>
          </cell>
          <cell r="Q79">
            <v>31552.019943473631</v>
          </cell>
          <cell r="R79">
            <v>-27364.277664270528</v>
          </cell>
          <cell r="S79">
            <v>-206671.70195867951</v>
          </cell>
          <cell r="T79">
            <v>-27651.887687340233</v>
          </cell>
          <cell r="U79">
            <v>-59060.314265907946</v>
          </cell>
          <cell r="V79">
            <v>-108645.72710116897</v>
          </cell>
          <cell r="W79">
            <v>-119642.11764167191</v>
          </cell>
          <cell r="X79">
            <v>-40250.791172094752</v>
          </cell>
          <cell r="Y79">
            <v>-22219.942301037521</v>
          </cell>
          <cell r="Z79">
            <v>43935.49602414955</v>
          </cell>
          <cell r="AD79">
            <v>0</v>
          </cell>
          <cell r="AH79">
            <v>0</v>
          </cell>
          <cell r="AL79">
            <v>0</v>
          </cell>
          <cell r="AP79">
            <v>0</v>
          </cell>
          <cell r="AT79">
            <v>0</v>
          </cell>
          <cell r="AX79">
            <v>0</v>
          </cell>
          <cell r="AZ79">
            <v>-287083.70171221124</v>
          </cell>
          <cell r="BA79">
            <v>-100242.61480535494</v>
          </cell>
          <cell r="BB79">
            <v>-89674.931636088062</v>
          </cell>
          <cell r="BC79">
            <v>10135.285336207919</v>
          </cell>
          <cell r="BE79">
            <v>42746.158146012152</v>
          </cell>
          <cell r="BF79">
            <v>-41331.02293113304</v>
          </cell>
          <cell r="BG79">
            <v>-39947.695012615848</v>
          </cell>
          <cell r="BH79">
            <v>102209.79407749778</v>
          </cell>
          <cell r="BI79">
            <v>-329830.85985822341</v>
          </cell>
          <cell r="BJ79">
            <v>-58910.591874220969</v>
          </cell>
          <cell r="BK79">
            <v>-49727.236623472192</v>
          </cell>
          <cell r="BL79">
            <v>-92074.508741289377</v>
          </cell>
          <cell r="BM79">
            <v>0</v>
          </cell>
          <cell r="BN79">
            <v>0</v>
          </cell>
          <cell r="BO79">
            <v>0</v>
          </cell>
          <cell r="BP79">
            <v>0</v>
          </cell>
          <cell r="BQ79">
            <v>0</v>
          </cell>
          <cell r="BR79">
            <v>0</v>
          </cell>
          <cell r="BS79">
            <v>0</v>
          </cell>
          <cell r="BT79">
            <v>0</v>
          </cell>
        </row>
        <row r="80">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D80">
            <v>0</v>
          </cell>
          <cell r="AH80">
            <v>0</v>
          </cell>
          <cell r="AL80">
            <v>0</v>
          </cell>
          <cell r="AP80">
            <v>0</v>
          </cell>
          <cell r="AT80">
            <v>0</v>
          </cell>
          <cell r="AX80">
            <v>0</v>
          </cell>
          <cell r="AZ80">
            <v>0</v>
          </cell>
          <cell r="BA80">
            <v>0</v>
          </cell>
          <cell r="BB80">
            <v>0</v>
          </cell>
          <cell r="BC80">
            <v>0</v>
          </cell>
          <cell r="BE80">
            <v>0</v>
          </cell>
          <cell r="BF80">
            <v>0</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row>
        <row r="82">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D82">
            <v>0</v>
          </cell>
          <cell r="AH82">
            <v>0</v>
          </cell>
          <cell r="AL82">
            <v>0</v>
          </cell>
          <cell r="AP82">
            <v>0</v>
          </cell>
          <cell r="AT82">
            <v>0</v>
          </cell>
          <cell r="AX82">
            <v>0</v>
          </cell>
          <cell r="AZ82">
            <v>0</v>
          </cell>
          <cell r="BA82">
            <v>0</v>
          </cell>
          <cell r="BB82">
            <v>0</v>
          </cell>
          <cell r="BC82">
            <v>0</v>
          </cell>
          <cell r="BE82">
            <v>0</v>
          </cell>
          <cell r="BF82">
            <v>0</v>
          </cell>
          <cell r="BG82">
            <v>0</v>
          </cell>
          <cell r="BH82">
            <v>0</v>
          </cell>
          <cell r="BI82">
            <v>0</v>
          </cell>
          <cell r="BJ82">
            <v>0</v>
          </cell>
          <cell r="BK82">
            <v>0</v>
          </cell>
          <cell r="BL82">
            <v>0</v>
          </cell>
          <cell r="BM82">
            <v>0</v>
          </cell>
          <cell r="BN82">
            <v>0</v>
          </cell>
          <cell r="BO82">
            <v>0</v>
          </cell>
          <cell r="BP82">
            <v>0</v>
          </cell>
          <cell r="BQ82">
            <v>0</v>
          </cell>
          <cell r="BR82">
            <v>0</v>
          </cell>
          <cell r="BS82">
            <v>0</v>
          </cell>
          <cell r="BT82">
            <v>0</v>
          </cell>
        </row>
        <row r="83">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D83">
            <v>0</v>
          </cell>
          <cell r="AH83">
            <v>0</v>
          </cell>
          <cell r="AL83">
            <v>0</v>
          </cell>
          <cell r="AP83">
            <v>0</v>
          </cell>
          <cell r="AT83">
            <v>0</v>
          </cell>
          <cell r="AX83">
            <v>0</v>
          </cell>
          <cell r="AZ83">
            <v>0</v>
          </cell>
          <cell r="BA83">
            <v>0</v>
          </cell>
          <cell r="BB83">
            <v>0</v>
          </cell>
          <cell r="BC83">
            <v>0</v>
          </cell>
          <cell r="BE83">
            <v>0</v>
          </cell>
          <cell r="BF83">
            <v>0</v>
          </cell>
          <cell r="BG83">
            <v>0</v>
          </cell>
          <cell r="BH83">
            <v>0</v>
          </cell>
          <cell r="BI83">
            <v>0</v>
          </cell>
          <cell r="BJ83">
            <v>0</v>
          </cell>
          <cell r="BK83">
            <v>0</v>
          </cell>
          <cell r="BL83">
            <v>0</v>
          </cell>
          <cell r="BM83">
            <v>0</v>
          </cell>
          <cell r="BN83">
            <v>0</v>
          </cell>
          <cell r="BO83">
            <v>0</v>
          </cell>
          <cell r="BP83">
            <v>0</v>
          </cell>
          <cell r="BQ83">
            <v>0</v>
          </cell>
          <cell r="BR83">
            <v>0</v>
          </cell>
          <cell r="BS83">
            <v>0</v>
          </cell>
          <cell r="BT83">
            <v>0</v>
          </cell>
        </row>
        <row r="84">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D84">
            <v>0</v>
          </cell>
          <cell r="AH84">
            <v>0</v>
          </cell>
          <cell r="AL84">
            <v>0</v>
          </cell>
          <cell r="AP84">
            <v>0</v>
          </cell>
          <cell r="AT84">
            <v>0</v>
          </cell>
          <cell r="AX84">
            <v>0</v>
          </cell>
        </row>
        <row r="85">
          <cell r="C85">
            <v>1765338.8613724997</v>
          </cell>
          <cell r="D85">
            <v>1764286.2889630836</v>
          </cell>
          <cell r="E85">
            <v>1757331.420920955</v>
          </cell>
          <cell r="F85">
            <v>1750119.683097</v>
          </cell>
          <cell r="G85">
            <v>1590741.1850649999</v>
          </cell>
          <cell r="H85">
            <v>1559266.8973992686</v>
          </cell>
          <cell r="I85">
            <v>1544407.683020961</v>
          </cell>
          <cell r="J85">
            <v>1604931.6356578106</v>
          </cell>
          <cell r="K85">
            <v>1697307.9016199999</v>
          </cell>
          <cell r="L85">
            <v>1657753.1708118962</v>
          </cell>
          <cell r="M85">
            <v>1639847.8389226093</v>
          </cell>
          <cell r="N85">
            <v>1635251.6954215001</v>
          </cell>
          <cell r="O85">
            <v>1672206.8854248528</v>
          </cell>
          <cell r="P85">
            <v>1560805.7574348047</v>
          </cell>
          <cell r="Q85">
            <v>1566671.4513439999</v>
          </cell>
          <cell r="R85">
            <v>1548267.858770998</v>
          </cell>
          <cell r="S85">
            <v>1640047.3313141756</v>
          </cell>
          <cell r="T85">
            <v>1597267.416435631</v>
          </cell>
          <cell r="U85">
            <v>1597224.1745141924</v>
          </cell>
          <cell r="V85">
            <v>1572781.5327316136</v>
          </cell>
          <cell r="W85">
            <v>1613787.9816247823</v>
          </cell>
          <cell r="X85">
            <v>1551974.7389924391</v>
          </cell>
          <cell r="Y85">
            <v>1549168.4118031226</v>
          </cell>
          <cell r="Z85">
            <v>1527244.4011322563</v>
          </cell>
          <cell r="AD85">
            <v>0</v>
          </cell>
          <cell r="AH85">
            <v>0</v>
          </cell>
          <cell r="AL85">
            <v>0</v>
          </cell>
          <cell r="AP85">
            <v>0</v>
          </cell>
          <cell r="AT85">
            <v>0</v>
          </cell>
          <cell r="AX85">
            <v>0</v>
          </cell>
          <cell r="AZ85">
            <v>9979430.1464213114</v>
          </cell>
          <cell r="BA85">
            <v>9691354.2700371239</v>
          </cell>
          <cell r="BB85">
            <v>9654650.9805258401</v>
          </cell>
          <cell r="BC85">
            <v>9638596.8068111781</v>
          </cell>
          <cell r="BE85">
            <v>5053387.9480574997</v>
          </cell>
          <cell r="BF85">
            <v>4981306.3571742484</v>
          </cell>
          <cell r="BG85">
            <v>4941586.9428645251</v>
          </cell>
          <cell r="BH85">
            <v>4990303.014176311</v>
          </cell>
          <cell r="BI85">
            <v>4926042.1983638108</v>
          </cell>
          <cell r="BJ85">
            <v>4710047.9128628746</v>
          </cell>
          <cell r="BK85">
            <v>4713064.0376613149</v>
          </cell>
          <cell r="BL85">
            <v>4648293.7926348671</v>
          </cell>
          <cell r="BM85">
            <v>0</v>
          </cell>
          <cell r="BN85">
            <v>0</v>
          </cell>
          <cell r="BO85">
            <v>0</v>
          </cell>
          <cell r="BP85">
            <v>0</v>
          </cell>
          <cell r="BQ85">
            <v>0</v>
          </cell>
          <cell r="BR85">
            <v>0</v>
          </cell>
          <cell r="BS85">
            <v>0</v>
          </cell>
          <cell r="BT85">
            <v>0</v>
          </cell>
        </row>
        <row r="86">
          <cell r="C86">
            <v>12265056.359000001</v>
          </cell>
          <cell r="D86">
            <v>11835482.202</v>
          </cell>
          <cell r="E86">
            <v>12145282.489</v>
          </cell>
          <cell r="F86">
            <v>12383282.056999998</v>
          </cell>
          <cell r="G86">
            <v>10812638.341</v>
          </cell>
          <cell r="H86">
            <v>10194194.890000001</v>
          </cell>
          <cell r="I86">
            <v>10449469.022</v>
          </cell>
          <cell r="J86">
            <v>11053990.912</v>
          </cell>
          <cell r="K86">
            <v>11325575.642999999</v>
          </cell>
          <cell r="L86">
            <v>10897138.074000001</v>
          </cell>
          <cell r="M86">
            <v>11037312.741999999</v>
          </cell>
          <cell r="N86">
            <v>11166682.052999999</v>
          </cell>
          <cell r="O86">
            <v>10486500.649999999</v>
          </cell>
          <cell r="P86">
            <v>10254866.145</v>
          </cell>
          <cell r="Q86">
            <v>10407299.980999999</v>
          </cell>
          <cell r="R86">
            <v>10473901.704</v>
          </cell>
          <cell r="S86">
            <v>10561919.318999996</v>
          </cell>
          <cell r="T86">
            <v>10444617.941</v>
          </cell>
          <cell r="U86">
            <v>10662829.917999998</v>
          </cell>
          <cell r="V86">
            <v>10696627.563999999</v>
          </cell>
          <cell r="W86">
            <v>10377707.042999998</v>
          </cell>
          <cell r="X86">
            <v>10261200.284000002</v>
          </cell>
          <cell r="Y86">
            <v>10498411.946</v>
          </cell>
          <cell r="Z86">
            <v>10509630.243000001</v>
          </cell>
          <cell r="AD86">
            <v>0</v>
          </cell>
          <cell r="AH86">
            <v>0</v>
          </cell>
          <cell r="AL86">
            <v>0</v>
          </cell>
          <cell r="AP86">
            <v>0</v>
          </cell>
          <cell r="AT86">
            <v>0</v>
          </cell>
          <cell r="AX86">
            <v>0</v>
          </cell>
          <cell r="AZ86">
            <v>65829397.354999997</v>
          </cell>
          <cell r="BA86">
            <v>63887499.536000006</v>
          </cell>
          <cell r="BB86">
            <v>65200606.097999997</v>
          </cell>
          <cell r="BC86">
            <v>66284114.532999992</v>
          </cell>
          <cell r="BE86">
            <v>34403270.343000002</v>
          </cell>
          <cell r="BF86">
            <v>32926815.166000001</v>
          </cell>
          <cell r="BG86">
            <v>33632064.252999999</v>
          </cell>
          <cell r="BH86">
            <v>34603955.022</v>
          </cell>
          <cell r="BI86">
            <v>31426127.011999995</v>
          </cell>
          <cell r="BJ86">
            <v>30960684.370000001</v>
          </cell>
          <cell r="BK86">
            <v>31568541.844999999</v>
          </cell>
          <cell r="BL86">
            <v>31680159.511</v>
          </cell>
          <cell r="BM86">
            <v>0</v>
          </cell>
          <cell r="BN86">
            <v>0</v>
          </cell>
          <cell r="BO86">
            <v>0</v>
          </cell>
          <cell r="BP86">
            <v>0</v>
          </cell>
          <cell r="BQ86">
            <v>0</v>
          </cell>
          <cell r="BR86">
            <v>0</v>
          </cell>
          <cell r="BS86">
            <v>0</v>
          </cell>
          <cell r="BT86">
            <v>0</v>
          </cell>
        </row>
        <row r="87">
          <cell r="C87">
            <v>1249739.8046875</v>
          </cell>
          <cell r="D87">
            <v>1246863.0553035373</v>
          </cell>
          <cell r="E87">
            <v>1263756.5505396598</v>
          </cell>
          <cell r="F87">
            <v>1245222.6826309999</v>
          </cell>
          <cell r="G87">
            <v>1108752.1556640626</v>
          </cell>
          <cell r="H87">
            <v>1107274.8663438293</v>
          </cell>
          <cell r="I87">
            <v>1102355.87964522</v>
          </cell>
          <cell r="J87">
            <v>1132472.462232983</v>
          </cell>
          <cell r="K87">
            <v>1196103.4705273439</v>
          </cell>
          <cell r="L87">
            <v>1188619.236955439</v>
          </cell>
          <cell r="M87">
            <v>1142776.5400022001</v>
          </cell>
          <cell r="N87">
            <v>1131197.9258274289</v>
          </cell>
          <cell r="O87">
            <v>1142567.4261042385</v>
          </cell>
          <cell r="P87">
            <v>1124762.0826944001</v>
          </cell>
          <cell r="Q87">
            <v>1090879.5673760001</v>
          </cell>
          <cell r="R87">
            <v>1059220.1186934209</v>
          </cell>
          <cell r="S87">
            <v>1129798.3483089241</v>
          </cell>
          <cell r="T87">
            <v>1148438.4250696646</v>
          </cell>
          <cell r="U87">
            <v>1098534.4794163764</v>
          </cell>
          <cell r="V87">
            <v>1070461.28844315</v>
          </cell>
          <cell r="W87">
            <v>1098031.0275187909</v>
          </cell>
          <cell r="X87">
            <v>1086963.9548435269</v>
          </cell>
          <cell r="Y87">
            <v>1067129.5708555465</v>
          </cell>
          <cell r="Z87">
            <v>1042733.4539335759</v>
          </cell>
          <cell r="AD87">
            <v>0</v>
          </cell>
          <cell r="AH87">
            <v>0</v>
          </cell>
          <cell r="AL87">
            <v>0</v>
          </cell>
          <cell r="AP87">
            <v>0</v>
          </cell>
          <cell r="AT87">
            <v>0</v>
          </cell>
          <cell r="AX87">
            <v>0</v>
          </cell>
          <cell r="AZ87">
            <v>6924992.2328108596</v>
          </cell>
          <cell r="BA87">
            <v>6902921.6212103972</v>
          </cell>
          <cell r="BB87">
            <v>6765432.5878350027</v>
          </cell>
          <cell r="BC87">
            <v>6681307.9317615582</v>
          </cell>
          <cell r="BE87">
            <v>3554595.4308789065</v>
          </cell>
          <cell r="BF87">
            <v>3542757.1586028058</v>
          </cell>
          <cell r="BG87">
            <v>3508888.9701870801</v>
          </cell>
          <cell r="BH87">
            <v>3508893.0706914114</v>
          </cell>
          <cell r="BI87">
            <v>3370396.801931954</v>
          </cell>
          <cell r="BJ87">
            <v>3360164.4626075914</v>
          </cell>
          <cell r="BK87">
            <v>3256543.6176479235</v>
          </cell>
          <cell r="BL87">
            <v>3172414.8610701468</v>
          </cell>
          <cell r="BM87">
            <v>0</v>
          </cell>
          <cell r="BN87">
            <v>0</v>
          </cell>
          <cell r="BO87">
            <v>0</v>
          </cell>
          <cell r="BP87">
            <v>0</v>
          </cell>
          <cell r="BQ87">
            <v>0</v>
          </cell>
          <cell r="BR87">
            <v>0</v>
          </cell>
          <cell r="BS87">
            <v>0</v>
          </cell>
          <cell r="BT87">
            <v>0</v>
          </cell>
        </row>
        <row r="88">
          <cell r="C88">
            <v>10026509.375</v>
          </cell>
          <cell r="D88">
            <v>9882810.7210000008</v>
          </cell>
          <cell r="E88">
            <v>10405529.416999999</v>
          </cell>
          <cell r="F88">
            <v>10602639.710999999</v>
          </cell>
          <cell r="G88">
            <v>8501780.625</v>
          </cell>
          <cell r="H88">
            <v>8446240.0720000006</v>
          </cell>
          <cell r="I88">
            <v>8774530.6140000001</v>
          </cell>
          <cell r="J88">
            <v>9379080.0190000013</v>
          </cell>
          <cell r="K88">
            <v>8762608.25</v>
          </cell>
          <cell r="L88">
            <v>8899862.2939999998</v>
          </cell>
          <cell r="M88">
            <v>8857941.284</v>
          </cell>
          <cell r="N88">
            <v>9177738.7659999989</v>
          </cell>
          <cell r="O88">
            <v>8117027.1909999987</v>
          </cell>
          <cell r="P88">
            <v>8453883.5069999993</v>
          </cell>
          <cell r="Q88">
            <v>8493217.6940000001</v>
          </cell>
          <cell r="R88">
            <v>8659548.9409999996</v>
          </cell>
          <cell r="S88">
            <v>8429975.4510000013</v>
          </cell>
          <cell r="T88">
            <v>8662153.0760000013</v>
          </cell>
          <cell r="U88">
            <v>8785184.7039999999</v>
          </cell>
          <cell r="V88">
            <v>8890695.068</v>
          </cell>
          <cell r="W88">
            <v>8314452.0840000007</v>
          </cell>
          <cell r="X88">
            <v>8402558.0190000013</v>
          </cell>
          <cell r="Y88">
            <v>8558273.0859999992</v>
          </cell>
          <cell r="Z88">
            <v>8749719.7679999992</v>
          </cell>
          <cell r="AD88">
            <v>0</v>
          </cell>
          <cell r="AH88">
            <v>0</v>
          </cell>
          <cell r="AL88">
            <v>0</v>
          </cell>
          <cell r="AP88">
            <v>0</v>
          </cell>
          <cell r="AT88">
            <v>0</v>
          </cell>
          <cell r="AX88">
            <v>0</v>
          </cell>
          <cell r="AZ88">
            <v>52152352.976000004</v>
          </cell>
          <cell r="BA88">
            <v>52747507.689000003</v>
          </cell>
          <cell r="BB88">
            <v>53874676.798999995</v>
          </cell>
          <cell r="BC88">
            <v>55459422.272999994</v>
          </cell>
          <cell r="BE88">
            <v>27290898.25</v>
          </cell>
          <cell r="BF88">
            <v>27228913.087000001</v>
          </cell>
          <cell r="BG88">
            <v>28038001.314999998</v>
          </cell>
          <cell r="BH88">
            <v>29159458.495999999</v>
          </cell>
          <cell r="BI88">
            <v>24861454.726000004</v>
          </cell>
          <cell r="BJ88">
            <v>25518594.602000002</v>
          </cell>
          <cell r="BK88">
            <v>25836675.484000001</v>
          </cell>
          <cell r="BL88">
            <v>26299963.776999999</v>
          </cell>
          <cell r="BM88">
            <v>0</v>
          </cell>
          <cell r="BN88">
            <v>0</v>
          </cell>
          <cell r="BO88">
            <v>0</v>
          </cell>
          <cell r="BP88">
            <v>0</v>
          </cell>
          <cell r="BQ88">
            <v>0</v>
          </cell>
          <cell r="BR88">
            <v>0</v>
          </cell>
          <cell r="BS88">
            <v>0</v>
          </cell>
          <cell r="BT88">
            <v>0</v>
          </cell>
        </row>
        <row r="89">
          <cell r="C89">
            <v>6130943</v>
          </cell>
          <cell r="D89">
            <v>6117536</v>
          </cell>
          <cell r="E89">
            <v>6438513</v>
          </cell>
          <cell r="F89">
            <v>6189175</v>
          </cell>
          <cell r="G89">
            <v>5150327</v>
          </cell>
          <cell r="H89">
            <v>5252622</v>
          </cell>
          <cell r="I89">
            <v>5344734</v>
          </cell>
          <cell r="J89">
            <v>5468508</v>
          </cell>
          <cell r="K89">
            <v>5331223</v>
          </cell>
          <cell r="L89">
            <v>5463046</v>
          </cell>
          <cell r="M89">
            <v>5461567</v>
          </cell>
          <cell r="N89">
            <v>5441691</v>
          </cell>
          <cell r="O89">
            <v>5071457</v>
          </cell>
          <cell r="P89">
            <v>5332525</v>
          </cell>
          <cell r="Q89">
            <v>5273210</v>
          </cell>
          <cell r="R89">
            <v>5095574</v>
          </cell>
          <cell r="S89">
            <v>5278984</v>
          </cell>
          <cell r="T89">
            <v>5415399</v>
          </cell>
          <cell r="U89">
            <v>5341403</v>
          </cell>
          <cell r="V89">
            <v>5266845</v>
          </cell>
          <cell r="W89">
            <v>5228753</v>
          </cell>
          <cell r="X89">
            <v>5068023</v>
          </cell>
          <cell r="Y89">
            <v>5177240</v>
          </cell>
          <cell r="Z89">
            <v>5129943</v>
          </cell>
          <cell r="AD89">
            <v>0</v>
          </cell>
          <cell r="AH89">
            <v>0</v>
          </cell>
          <cell r="AL89">
            <v>0</v>
          </cell>
          <cell r="AP89">
            <v>0</v>
          </cell>
          <cell r="AT89">
            <v>0</v>
          </cell>
          <cell r="AX89">
            <v>0</v>
          </cell>
          <cell r="AZ89">
            <v>32191687</v>
          </cell>
          <cell r="BA89">
            <v>32649151</v>
          </cell>
          <cell r="BB89">
            <v>33036667</v>
          </cell>
          <cell r="BC89">
            <v>32591736</v>
          </cell>
          <cell r="BE89">
            <v>16612493</v>
          </cell>
          <cell r="BF89">
            <v>16833204</v>
          </cell>
          <cell r="BG89">
            <v>17244814</v>
          </cell>
          <cell r="BH89">
            <v>17099374</v>
          </cell>
          <cell r="BI89">
            <v>15579194</v>
          </cell>
          <cell r="BJ89">
            <v>15815947</v>
          </cell>
          <cell r="BK89">
            <v>15791853</v>
          </cell>
          <cell r="BL89">
            <v>15492362</v>
          </cell>
          <cell r="BM89">
            <v>0</v>
          </cell>
          <cell r="BN89">
            <v>0</v>
          </cell>
          <cell r="BO89">
            <v>0</v>
          </cell>
          <cell r="BP89">
            <v>0</v>
          </cell>
          <cell r="BQ89">
            <v>0</v>
          </cell>
          <cell r="BR89">
            <v>0</v>
          </cell>
          <cell r="BS89">
            <v>0</v>
          </cell>
          <cell r="BT89">
            <v>0</v>
          </cell>
        </row>
        <row r="90">
          <cell r="C90">
            <v>0.7079319625444962</v>
          </cell>
          <cell r="D90">
            <v>0.70672376875770582</v>
          </cell>
          <cell r="E90">
            <v>0.71913387281117969</v>
          </cell>
          <cell r="F90">
            <v>0.71150715842899515</v>
          </cell>
          <cell r="G90">
            <v>0.69700348873456586</v>
          </cell>
          <cell r="H90">
            <v>0.71012529554156156</v>
          </cell>
          <cell r="I90">
            <v>0.71377259499832379</v>
          </cell>
          <cell r="J90">
            <v>0.70562037476993122</v>
          </cell>
          <cell r="K90">
            <v>0.7047062406212331</v>
          </cell>
          <cell r="L90">
            <v>0.71700616103982739</v>
          </cell>
          <cell r="M90">
            <v>0.69687962070493792</v>
          </cell>
          <cell r="N90">
            <v>0.69175768415017791</v>
          </cell>
          <cell r="O90">
            <v>0.68326917922835229</v>
          </cell>
          <cell r="P90">
            <v>0.72062912206510221</v>
          </cell>
          <cell r="Q90">
            <v>0.69630398028901819</v>
          </cell>
          <cell r="R90">
            <v>0.68413234356890995</v>
          </cell>
          <cell r="S90">
            <v>0.68888155039014198</v>
          </cell>
          <cell r="T90">
            <v>0.71900197377872577</v>
          </cell>
          <cell r="U90">
            <v>0.68777726817871632</v>
          </cell>
          <cell r="V90">
            <v>0.68061664393017651</v>
          </cell>
          <cell r="W90">
            <v>0.68040600129719597</v>
          </cell>
          <cell r="X90">
            <v>0.70037477256182479</v>
          </cell>
          <cell r="Y90">
            <v>0.68884025953865347</v>
          </cell>
          <cell r="Z90">
            <v>0.68275480542637612</v>
          </cell>
          <cell r="AD90" t="e">
            <v>#DIV/0!</v>
          </cell>
          <cell r="AH90" t="e">
            <v>#DIV/0!</v>
          </cell>
          <cell r="AL90" t="e">
            <v>#DIV/0!</v>
          </cell>
          <cell r="AP90" t="e">
            <v>#DIV/0!</v>
          </cell>
          <cell r="AT90" t="e">
            <v>#DIV/0!</v>
          </cell>
          <cell r="AX90" t="e">
            <v>#DIV/0!</v>
          </cell>
          <cell r="AZ90">
            <v>0.69392662017822804</v>
          </cell>
          <cell r="BA90">
            <v>0.7122762648923322</v>
          </cell>
          <cell r="BB90">
            <v>0.70074336208335142</v>
          </cell>
          <cell r="BC90">
            <v>0.69318263494953625</v>
          </cell>
          <cell r="BE90">
            <v>0.70340838016310969</v>
          </cell>
          <cell r="BF90">
            <v>0.71121045456286891</v>
          </cell>
          <cell r="BG90">
            <v>0.71007330453909956</v>
          </cell>
          <cell r="BH90">
            <v>0.70314228629472952</v>
          </cell>
          <cell r="BI90">
            <v>0.68419974214825729</v>
          </cell>
          <cell r="BJ90">
            <v>0.71340345677401118</v>
          </cell>
          <cell r="BK90">
            <v>0.69096103758094995</v>
          </cell>
          <cell r="BL90">
            <v>0.68249017867518991</v>
          </cell>
          <cell r="BM90" t="e">
            <v>#DIV/0!</v>
          </cell>
          <cell r="BN90" t="e">
            <v>#DIV/0!</v>
          </cell>
          <cell r="BO90" t="e">
            <v>#DIV/0!</v>
          </cell>
          <cell r="BP90" t="e">
            <v>#DIV/0!</v>
          </cell>
          <cell r="BQ90" t="e">
            <v>#DIV/0!</v>
          </cell>
          <cell r="BR90" t="e">
            <v>#DIV/0!</v>
          </cell>
          <cell r="BS90" t="e">
            <v>#DIV/0!</v>
          </cell>
          <cell r="BT90" t="e">
            <v>#DIV/0!</v>
          </cell>
        </row>
        <row r="91">
          <cell r="C91">
            <v>0.6814342213046487</v>
          </cell>
          <cell r="D91">
            <v>0.64434625412983781</v>
          </cell>
          <cell r="E91">
            <v>0.62982677421438227</v>
          </cell>
          <cell r="F91">
            <v>0.59082822225311238</v>
          </cell>
          <cell r="G91">
            <v>0.72900057678750163</v>
          </cell>
          <cell r="H91">
            <v>0.73948642443847423</v>
          </cell>
          <cell r="I91">
            <v>0.68775627289886276</v>
          </cell>
          <cell r="J91">
            <v>0.65651427099299964</v>
          </cell>
          <cell r="K91">
            <v>0.68231397479593137</v>
          </cell>
          <cell r="L91">
            <v>0.76000589192649537</v>
          </cell>
          <cell r="M91">
            <v>0.70685906737220383</v>
          </cell>
          <cell r="N91">
            <v>0.75396487724309724</v>
          </cell>
          <cell r="O91">
            <v>0.70198546907483617</v>
          </cell>
          <cell r="P91">
            <v>0.72967865410801147</v>
          </cell>
          <cell r="Q91">
            <v>0.70919420946947787</v>
          </cell>
          <cell r="R91">
            <v>0.72942940624378005</v>
          </cell>
          <cell r="S91">
            <v>0.73067062540822347</v>
          </cell>
          <cell r="T91">
            <v>0.74307236471904736</v>
          </cell>
          <cell r="U91">
            <v>0.70948756979672689</v>
          </cell>
          <cell r="V91">
            <v>0.70049199138816809</v>
          </cell>
          <cell r="W91">
            <v>0.66602714333802016</v>
          </cell>
          <cell r="X91">
            <v>0.71970309582822245</v>
          </cell>
          <cell r="Y91">
            <v>0.72623909203257353</v>
          </cell>
          <cell r="Z91">
            <v>0.7028419591546281</v>
          </cell>
          <cell r="AD91" t="e">
            <v>#DIV/0!</v>
          </cell>
          <cell r="AH91" t="e">
            <v>#DIV/0!</v>
          </cell>
          <cell r="AL91" t="e">
            <v>#DIV/0!</v>
          </cell>
          <cell r="AP91" t="e">
            <v>#DIV/0!</v>
          </cell>
          <cell r="AT91" t="e">
            <v>#DIV/0!</v>
          </cell>
          <cell r="AX91" t="e">
            <v>#DIV/0!</v>
          </cell>
          <cell r="AZ91">
            <v>0.69755216010361354</v>
          </cell>
          <cell r="BA91">
            <v>0.72064032726160765</v>
          </cell>
          <cell r="BB91">
            <v>0.69087412968567075</v>
          </cell>
          <cell r="BC91">
            <v>0.68572380396773525</v>
          </cell>
          <cell r="BE91">
            <v>0.69626104263431277</v>
          </cell>
          <cell r="BF91">
            <v>0.71103241513394932</v>
          </cell>
          <cell r="BG91">
            <v>0.67049895752185873</v>
          </cell>
          <cell r="BH91">
            <v>0.66319744006950554</v>
          </cell>
          <cell r="BI91">
            <v>0.6994398595307264</v>
          </cell>
          <cell r="BJ91">
            <v>0.73078963643583883</v>
          </cell>
          <cell r="BK91">
            <v>0.71476591515588739</v>
          </cell>
          <cell r="BL91">
            <v>0.7108493394544273</v>
          </cell>
          <cell r="BM91" t="e">
            <v>#DIV/0!</v>
          </cell>
          <cell r="BN91" t="e">
            <v>#DIV/0!</v>
          </cell>
          <cell r="BO91" t="e">
            <v>#DIV/0!</v>
          </cell>
          <cell r="BP91" t="e">
            <v>#DIV/0!</v>
          </cell>
          <cell r="BQ91" t="e">
            <v>#DIV/0!</v>
          </cell>
          <cell r="BR91" t="e">
            <v>#DIV/0!</v>
          </cell>
          <cell r="BS91" t="e">
            <v>#DIV/0!</v>
          </cell>
          <cell r="BT91" t="e">
            <v>#DIV/0!</v>
          </cell>
        </row>
        <row r="92">
          <cell r="C92">
            <v>96.845312122601598</v>
          </cell>
          <cell r="D92">
            <v>91.739138955523671</v>
          </cell>
          <cell r="E92">
            <v>83.055209675233257</v>
          </cell>
          <cell r="F92">
            <v>67.063263619955308</v>
          </cell>
          <cell r="G92">
            <v>91.55419785425542</v>
          </cell>
          <cell r="H92">
            <v>85.767943886040015</v>
          </cell>
          <cell r="I92">
            <v>77.427202443039704</v>
          </cell>
          <cell r="J92">
            <v>61.504649451935158</v>
          </cell>
          <cell r="K92">
            <v>92.496105748462327</v>
          </cell>
          <cell r="L92">
            <v>85.458123358479781</v>
          </cell>
          <cell r="M92">
            <v>69.191991141465351</v>
          </cell>
          <cell r="N92">
            <v>62.115235712410112</v>
          </cell>
          <cell r="O92">
            <v>91.447394263861739</v>
          </cell>
          <cell r="P92">
            <v>90.613908359934825</v>
          </cell>
          <cell r="Q92">
            <v>72.017569430644983</v>
          </cell>
          <cell r="R92">
            <v>61.601682467399755</v>
          </cell>
          <cell r="S92">
            <v>86.36129020903924</v>
          </cell>
          <cell r="T92">
            <v>85.896301830040372</v>
          </cell>
          <cell r="U92">
            <v>71.112787358707635</v>
          </cell>
          <cell r="V92">
            <v>62.228560985769995</v>
          </cell>
          <cell r="W92">
            <v>89.806182451717987</v>
          </cell>
          <cell r="X92">
            <v>87.145276572336826</v>
          </cell>
          <cell r="Y92">
            <v>69.793079621316451</v>
          </cell>
          <cell r="Z92">
            <v>62.153456609491919</v>
          </cell>
          <cell r="AD92" t="e">
            <v>#DIV/0!</v>
          </cell>
          <cell r="AH92" t="e">
            <v>#DIV/0!</v>
          </cell>
          <cell r="AL92" t="e">
            <v>#DIV/0!</v>
          </cell>
          <cell r="AP92" t="e">
            <v>#DIV/0!</v>
          </cell>
          <cell r="AT92" t="e">
            <v>#DIV/0!</v>
          </cell>
          <cell r="AX92" t="e">
            <v>#DIV/0!</v>
          </cell>
          <cell r="AZ92">
            <v>91.529748943230629</v>
          </cell>
          <cell r="BA92">
            <v>87.82099967023845</v>
          </cell>
          <cell r="BB92">
            <v>73.985732295009527</v>
          </cell>
          <cell r="BC92">
            <v>62.876632000074537</v>
          </cell>
          <cell r="BE92">
            <v>93.731389482380209</v>
          </cell>
          <cell r="BF92">
            <v>87.765541681277853</v>
          </cell>
          <cell r="BG92">
            <v>76.772130341653593</v>
          </cell>
          <cell r="BH92">
            <v>63.674110362837389</v>
          </cell>
          <cell r="BI92">
            <v>89.207784539391568</v>
          </cell>
          <cell r="BJ92">
            <v>87.879471268750436</v>
          </cell>
          <cell r="BK92">
            <v>70.983419867982377</v>
          </cell>
          <cell r="BL92">
            <v>61.994570093397847</v>
          </cell>
          <cell r="BM92" t="e">
            <v>#DIV/0!</v>
          </cell>
          <cell r="BN92" t="e">
            <v>#DIV/0!</v>
          </cell>
          <cell r="BO92" t="e">
            <v>#DIV/0!</v>
          </cell>
          <cell r="BP92" t="e">
            <v>#DIV/0!</v>
          </cell>
          <cell r="BQ92" t="e">
            <v>#DIV/0!</v>
          </cell>
          <cell r="BR92" t="e">
            <v>#DIV/0!</v>
          </cell>
          <cell r="BS92" t="e">
            <v>#DIV/0!</v>
          </cell>
          <cell r="BT92" t="e">
            <v>#DIV/0!</v>
          </cell>
        </row>
        <row r="93">
          <cell r="C93">
            <v>68.559891874187642</v>
          </cell>
          <cell r="D93">
            <v>64.834230025234547</v>
          </cell>
          <cell r="E93">
            <v>59.727814590895058</v>
          </cell>
          <cell r="F93">
            <v>47.715992133208999</v>
          </cell>
          <cell r="G93">
            <v>63.813595312710738</v>
          </cell>
          <cell r="H93">
            <v>60.905986500066234</v>
          </cell>
          <cell r="I93">
            <v>55.265415211229005</v>
          </cell>
          <cell r="J93">
            <v>43.398933796367729</v>
          </cell>
          <cell r="K93">
            <v>65.182582954102912</v>
          </cell>
          <cell r="L93">
            <v>61.274000958931587</v>
          </cell>
          <cell r="M93">
            <v>48.21848854248379</v>
          </cell>
          <cell r="N93">
            <v>42.968691606859238</v>
          </cell>
          <cell r="O93">
            <v>62.483186021240343</v>
          </cell>
          <cell r="P93">
            <v>65.299021228307453</v>
          </cell>
          <cell r="Q93">
            <v>50.146120245298832</v>
          </cell>
          <cell r="R93">
            <v>42.143703394210021</v>
          </cell>
          <cell r="S93">
            <v>59.492699492895937</v>
          </cell>
          <cell r="T93">
            <v>61.759610556092191</v>
          </cell>
          <cell r="U93">
            <v>48.909758622145887</v>
          </cell>
          <cell r="V93">
            <v>42.353794334739092</v>
          </cell>
          <cell r="W93">
            <v>61.104665493739837</v>
          </cell>
          <cell r="X93">
            <v>61.034353259187725</v>
          </cell>
          <cell r="Y93">
            <v>48.076283080349533</v>
          </cell>
          <cell r="Z93">
            <v>42.435571173990361</v>
          </cell>
          <cell r="AD93" t="e">
            <v>#DIV/0!</v>
          </cell>
          <cell r="AH93" t="e">
            <v>#DIV/0!</v>
          </cell>
          <cell r="AL93" t="e">
            <v>#DIV/0!</v>
          </cell>
          <cell r="AP93" t="e">
            <v>#DIV/0!</v>
          </cell>
          <cell r="AT93" t="e">
            <v>#DIV/0!</v>
          </cell>
          <cell r="AX93" t="e">
            <v>#DIV/0!</v>
          </cell>
          <cell r="AZ93">
            <v>63.514929329937765</v>
          </cell>
          <cell r="BA93">
            <v>62.552813624228186</v>
          </cell>
          <cell r="BB93">
            <v>51.845010794603766</v>
          </cell>
          <cell r="BC93">
            <v>43.584989446563995</v>
          </cell>
          <cell r="BE93">
            <v>65.931444846238591</v>
          </cell>
          <cell r="BF93">
            <v>62.419770794098042</v>
          </cell>
          <cell r="BG93">
            <v>54.513840288204442</v>
          </cell>
          <cell r="BH93">
            <v>44.771959538308415</v>
          </cell>
          <cell r="BI93">
            <v>61.035943179469001</v>
          </cell>
          <cell r="BJ93">
            <v>62.693518582598962</v>
          </cell>
          <cell r="BK93">
            <v>49.04677744302532</v>
          </cell>
          <cell r="BL93">
            <v>42.31068521993469</v>
          </cell>
          <cell r="BM93" t="e">
            <v>#DIV/0!</v>
          </cell>
          <cell r="BN93" t="e">
            <v>#DIV/0!</v>
          </cell>
          <cell r="BO93" t="e">
            <v>#DIV/0!</v>
          </cell>
          <cell r="BP93" t="e">
            <v>#DIV/0!</v>
          </cell>
          <cell r="BQ93" t="e">
            <v>#DIV/0!</v>
          </cell>
          <cell r="BR93" t="e">
            <v>#DIV/0!</v>
          </cell>
          <cell r="BS93" t="e">
            <v>#DIV/0!</v>
          </cell>
          <cell r="BT93" t="e">
            <v>#DIV/0!</v>
          </cell>
        </row>
        <row r="94">
          <cell r="C94">
            <v>65.993709853270673</v>
          </cell>
          <cell r="D94">
            <v>59.111770543088362</v>
          </cell>
          <cell r="E94">
            <v>52.310394791451309</v>
          </cell>
          <cell r="F94">
            <v>39.622868823070014</v>
          </cell>
          <cell r="G94">
            <v>66.743063043069256</v>
          </cell>
          <cell r="H94">
            <v>63.424230155727436</v>
          </cell>
          <cell r="I94">
            <v>53.251044173210701</v>
          </cell>
          <cell r="J94">
            <v>40.378680097617199</v>
          </cell>
          <cell r="K94">
            <v>63.111385566378132</v>
          </cell>
          <cell r="L94">
            <v>64.948677265425886</v>
          </cell>
          <cell r="M94">
            <v>48.908986327881991</v>
          </cell>
          <cell r="N94">
            <v>46.832706068833332</v>
          </cell>
          <cell r="O94">
            <v>64.194741957988469</v>
          </cell>
          <cell r="P94">
            <v>66.119034695543931</v>
          </cell>
          <cell r="Q94">
            <v>51.074443220279498</v>
          </cell>
          <cell r="R94">
            <v>44.934078665813274</v>
          </cell>
          <cell r="S94">
            <v>63.101657928099783</v>
          </cell>
          <cell r="T94">
            <v>63.827168121469136</v>
          </cell>
          <cell r="U94">
            <v>50.45363868460089</v>
          </cell>
          <cell r="V94">
            <v>43.590608606142091</v>
          </cell>
          <cell r="W94">
            <v>59.813355152410765</v>
          </cell>
          <cell r="X94">
            <v>62.71872533591749</v>
          </cell>
          <cell r="Y94">
            <v>50.686462774341969</v>
          </cell>
          <cell r="Z94">
            <v>43.684057211647463</v>
          </cell>
          <cell r="AD94" t="e">
            <v>#DIV/0!</v>
          </cell>
          <cell r="AH94" t="e">
            <v>#DIV/0!</v>
          </cell>
          <cell r="AL94" t="e">
            <v>#DIV/0!</v>
          </cell>
          <cell r="AP94" t="e">
            <v>#DIV/0!</v>
          </cell>
          <cell r="AT94" t="e">
            <v>#DIV/0!</v>
          </cell>
          <cell r="AX94" t="e">
            <v>#DIV/0!</v>
          </cell>
          <cell r="AZ94">
            <v>63.846774089091966</v>
          </cell>
          <cell r="BA94">
            <v>63.28735394280217</v>
          </cell>
          <cell r="BB94">
            <v>51.114828408471723</v>
          </cell>
          <cell r="BC94">
            <v>43.116003275770538</v>
          </cell>
          <cell r="BE94">
            <v>65.26151496856491</v>
          </cell>
          <cell r="BF94">
            <v>62.404145067178284</v>
          </cell>
          <cell r="BG94">
            <v>51.475633360811003</v>
          </cell>
          <cell r="BH94">
            <v>42.228506991336936</v>
          </cell>
          <cell r="BI94">
            <v>62.395480287279334</v>
          </cell>
          <cell r="BJ94">
            <v>64.221406858663883</v>
          </cell>
          <cell r="BK94">
            <v>50.736529062833014</v>
          </cell>
          <cell r="BL94">
            <v>44.068799200653061</v>
          </cell>
          <cell r="BM94" t="e">
            <v>#DIV/0!</v>
          </cell>
          <cell r="BN94" t="e">
            <v>#DIV/0!</v>
          </cell>
          <cell r="BO94" t="e">
            <v>#DIV/0!</v>
          </cell>
          <cell r="BP94" t="e">
            <v>#DIV/0!</v>
          </cell>
          <cell r="BQ94" t="e">
            <v>#DIV/0!</v>
          </cell>
          <cell r="BR94" t="e">
            <v>#DIV/0!</v>
          </cell>
          <cell r="BS94" t="e">
            <v>#DIV/0!</v>
          </cell>
          <cell r="BT94" t="e">
            <v>#DIV/0!</v>
          </cell>
        </row>
        <row r="95">
          <cell r="C95">
            <v>2.5132817674328938E-2</v>
          </cell>
          <cell r="D95">
            <v>3.2644952895164926E-2</v>
          </cell>
          <cell r="E95">
            <v>2.8046115696832151E-2</v>
          </cell>
          <cell r="F95">
            <v>2.5823152213530067E-2</v>
          </cell>
          <cell r="G95">
            <v>2.25684461060679E-2</v>
          </cell>
          <cell r="H95">
            <v>3.3767959631472631E-2</v>
          </cell>
          <cell r="I95">
            <v>3.205283032239041E-2</v>
          </cell>
          <cell r="J95">
            <v>3.4278033279525173E-2</v>
          </cell>
          <cell r="K95">
            <v>3.3317488402612297E-2</v>
          </cell>
          <cell r="L95">
            <v>3.5569012920166274E-2</v>
          </cell>
          <cell r="M95">
            <v>3.2588437392698677E-2</v>
          </cell>
          <cell r="N95">
            <v>3.0155530864517385E-2</v>
          </cell>
          <cell r="O95">
            <v>2.9402878482351725E-2</v>
          </cell>
          <cell r="P95">
            <v>3.3668507790252954E-2</v>
          </cell>
          <cell r="Q95">
            <v>3.1397350857887925E-2</v>
          </cell>
          <cell r="R95">
            <v>3.1153299341087019E-2</v>
          </cell>
          <cell r="S95">
            <v>2.8114540887874382E-2</v>
          </cell>
          <cell r="T95">
            <v>3.6466575282978204E-2</v>
          </cell>
          <cell r="U95">
            <v>3.4174800085084202E-2</v>
          </cell>
          <cell r="V95">
            <v>3.1147414268035255E-2</v>
          </cell>
          <cell r="W95">
            <v>3.1529213068591605E-2</v>
          </cell>
          <cell r="X95">
            <v>3.4630520937207157E-2</v>
          </cell>
          <cell r="Y95">
            <v>2.7062672791176069E-2</v>
          </cell>
          <cell r="Z95">
            <v>3.0058970833822366E-2</v>
          </cell>
          <cell r="AD95" t="e">
            <v>#DIV/0!</v>
          </cell>
          <cell r="AH95" t="e">
            <v>#DIV/0!</v>
          </cell>
          <cell r="AL95" t="e">
            <v>#DIV/0!</v>
          </cell>
          <cell r="AP95" t="e">
            <v>#DIV/0!</v>
          </cell>
          <cell r="AT95" t="e">
            <v>#DIV/0!</v>
          </cell>
          <cell r="AX95" t="e">
            <v>#DIV/0!</v>
          </cell>
          <cell r="AZ95">
            <v>2.8308739668196442E-2</v>
          </cell>
          <cell r="BA95">
            <v>3.4415029749178094E-2</v>
          </cell>
          <cell r="BB95">
            <v>3.0783042718500502E-2</v>
          </cell>
          <cell r="BC95">
            <v>3.027519168974763E-2</v>
          </cell>
          <cell r="BE95">
            <v>2.7069328354389671E-2</v>
          </cell>
          <cell r="BF95">
            <v>3.3943205297881106E-2</v>
          </cell>
          <cell r="BG95">
            <v>3.064889087856058E-2</v>
          </cell>
          <cell r="BH95">
            <v>2.9821417779764093E-2</v>
          </cell>
          <cell r="BI95">
            <v>2.968217084532191E-2</v>
          </cell>
          <cell r="BJ95">
            <v>3.4911848405260647E-2</v>
          </cell>
          <cell r="BK95">
            <v>3.0939377652006564E-2</v>
          </cell>
          <cell r="BL95">
            <v>3.0790691979272991E-2</v>
          </cell>
          <cell r="BM95" t="e">
            <v>#DIV/0!</v>
          </cell>
          <cell r="BN95" t="e">
            <v>#DIV/0!</v>
          </cell>
          <cell r="BO95" t="e">
            <v>#DIV/0!</v>
          </cell>
          <cell r="BP95" t="e">
            <v>#DIV/0!</v>
          </cell>
          <cell r="BQ95" t="e">
            <v>#DIV/0!</v>
          </cell>
          <cell r="BR95" t="e">
            <v>#DIV/0!</v>
          </cell>
          <cell r="BS95" t="e">
            <v>#DIV/0!</v>
          </cell>
          <cell r="BT95" t="e">
            <v>#DIV/0!</v>
          </cell>
        </row>
        <row r="98">
          <cell r="C98">
            <v>12265056.359000001</v>
          </cell>
          <cell r="D98">
            <v>11835482.202</v>
          </cell>
          <cell r="E98">
            <v>12145282.489</v>
          </cell>
          <cell r="F98">
            <v>12383282.056999998</v>
          </cell>
          <cell r="G98">
            <v>10812638.341</v>
          </cell>
          <cell r="H98">
            <v>10194194.890000001</v>
          </cell>
          <cell r="I98">
            <v>10449469.022</v>
          </cell>
          <cell r="J98">
            <v>11053990.912</v>
          </cell>
          <cell r="K98">
            <v>11325575.642999999</v>
          </cell>
          <cell r="L98">
            <v>10897138.074000001</v>
          </cell>
          <cell r="M98">
            <v>11037312.741999999</v>
          </cell>
          <cell r="N98">
            <v>11166682.052999999</v>
          </cell>
          <cell r="O98">
            <v>10486500.649999999</v>
          </cell>
          <cell r="P98">
            <v>10254866.145</v>
          </cell>
          <cell r="Q98">
            <v>10407299.980999999</v>
          </cell>
          <cell r="R98">
            <v>10473901.704</v>
          </cell>
          <cell r="S98">
            <v>10561919.318999996</v>
          </cell>
          <cell r="T98">
            <v>10444617.941</v>
          </cell>
          <cell r="U98">
            <v>10662829.917999998</v>
          </cell>
          <cell r="V98">
            <v>10696627.563999999</v>
          </cell>
          <cell r="W98">
            <v>10377707.042999998</v>
          </cell>
          <cell r="X98">
            <v>10261200.284000002</v>
          </cell>
          <cell r="Y98">
            <v>10498411.946</v>
          </cell>
          <cell r="Z98">
            <v>10509630.243000001</v>
          </cell>
          <cell r="AD98">
            <v>0</v>
          </cell>
          <cell r="AH98">
            <v>0</v>
          </cell>
          <cell r="AL98">
            <v>0</v>
          </cell>
          <cell r="AP98">
            <v>0</v>
          </cell>
          <cell r="AT98">
            <v>0</v>
          </cell>
          <cell r="AX98">
            <v>0</v>
          </cell>
          <cell r="AZ98">
            <v>65829397.354999997</v>
          </cell>
          <cell r="BA98">
            <v>63887499.536000006</v>
          </cell>
          <cell r="BB98">
            <v>65200606.097999997</v>
          </cell>
          <cell r="BC98">
            <v>66284114.532999992</v>
          </cell>
          <cell r="BE98">
            <v>34403270.343000002</v>
          </cell>
          <cell r="BF98">
            <v>32926815.166000001</v>
          </cell>
          <cell r="BG98">
            <v>33632064.252999999</v>
          </cell>
          <cell r="BH98">
            <v>34603955.022</v>
          </cell>
          <cell r="BI98">
            <v>31426127.011999995</v>
          </cell>
          <cell r="BJ98">
            <v>30960684.370000001</v>
          </cell>
          <cell r="BK98">
            <v>31568541.844999999</v>
          </cell>
          <cell r="BL98">
            <v>31680159.511</v>
          </cell>
          <cell r="BM98">
            <v>0</v>
          </cell>
          <cell r="BN98">
            <v>0</v>
          </cell>
          <cell r="BO98">
            <v>0</v>
          </cell>
          <cell r="BP98">
            <v>0</v>
          </cell>
          <cell r="BQ98">
            <v>0</v>
          </cell>
          <cell r="BR98">
            <v>0</v>
          </cell>
          <cell r="BS98">
            <v>0</v>
          </cell>
          <cell r="BT98">
            <v>0</v>
          </cell>
        </row>
        <row r="99">
          <cell r="C99">
            <v>10026509.375</v>
          </cell>
          <cell r="D99">
            <v>9882810.7210000008</v>
          </cell>
          <cell r="E99">
            <v>10405529.416999999</v>
          </cell>
          <cell r="F99">
            <v>10602639.710999999</v>
          </cell>
          <cell r="G99">
            <v>8501780.625</v>
          </cell>
          <cell r="H99">
            <v>8446240.0720000006</v>
          </cell>
          <cell r="I99">
            <v>8774530.6140000001</v>
          </cell>
          <cell r="J99">
            <v>9379080.0190000013</v>
          </cell>
          <cell r="K99">
            <v>8762608.25</v>
          </cell>
          <cell r="L99">
            <v>8899862.2939999998</v>
          </cell>
          <cell r="M99">
            <v>8857941.284</v>
          </cell>
          <cell r="N99">
            <v>9177738.7659999989</v>
          </cell>
          <cell r="O99">
            <v>8117027.1909999987</v>
          </cell>
          <cell r="P99">
            <v>8453883.5069999993</v>
          </cell>
          <cell r="Q99">
            <v>8493217.6940000001</v>
          </cell>
          <cell r="R99">
            <v>8659548.9409999996</v>
          </cell>
          <cell r="S99">
            <v>8429975.4510000013</v>
          </cell>
          <cell r="T99">
            <v>8662153.0760000013</v>
          </cell>
          <cell r="U99">
            <v>8785184.7039999999</v>
          </cell>
          <cell r="V99">
            <v>8890695.068</v>
          </cell>
          <cell r="W99">
            <v>8314452.0840000007</v>
          </cell>
          <cell r="X99">
            <v>8402558.0190000013</v>
          </cell>
          <cell r="Y99">
            <v>8558273.0859999992</v>
          </cell>
          <cell r="Z99">
            <v>8749719.7679999992</v>
          </cell>
          <cell r="AD99">
            <v>0</v>
          </cell>
          <cell r="AH99">
            <v>0</v>
          </cell>
          <cell r="AL99">
            <v>0</v>
          </cell>
          <cell r="AP99">
            <v>0</v>
          </cell>
          <cell r="AT99">
            <v>0</v>
          </cell>
          <cell r="AX99">
            <v>0</v>
          </cell>
          <cell r="AZ99">
            <v>52152352.976000004</v>
          </cell>
          <cell r="BA99">
            <v>52747507.689000003</v>
          </cell>
          <cell r="BB99">
            <v>53874676.798999995</v>
          </cell>
          <cell r="BC99">
            <v>55459422.272999994</v>
          </cell>
          <cell r="BE99">
            <v>27290898.25</v>
          </cell>
          <cell r="BF99">
            <v>27228913.087000001</v>
          </cell>
          <cell r="BG99">
            <v>28038001.314999998</v>
          </cell>
          <cell r="BH99">
            <v>29159458.495999999</v>
          </cell>
          <cell r="BI99">
            <v>24861454.726000004</v>
          </cell>
          <cell r="BJ99">
            <v>25518594.602000002</v>
          </cell>
          <cell r="BK99">
            <v>25836675.484000001</v>
          </cell>
          <cell r="BL99">
            <v>26299963.776999999</v>
          </cell>
          <cell r="BM99">
            <v>0</v>
          </cell>
          <cell r="BN99">
            <v>0</v>
          </cell>
          <cell r="BO99">
            <v>0</v>
          </cell>
          <cell r="BP99">
            <v>0</v>
          </cell>
          <cell r="BQ99">
            <v>0</v>
          </cell>
          <cell r="BR99">
            <v>0</v>
          </cell>
          <cell r="BS99">
            <v>0</v>
          </cell>
          <cell r="BT99">
            <v>0</v>
          </cell>
        </row>
        <row r="100">
          <cell r="C100">
            <v>0.81748579717227532</v>
          </cell>
          <cell r="D100">
            <v>0.83501546893712286</v>
          </cell>
          <cell r="E100">
            <v>0.85675482858667984</v>
          </cell>
          <cell r="F100">
            <v>0.85620594461115085</v>
          </cell>
          <cell r="G100">
            <v>0.78628178959453832</v>
          </cell>
          <cell r="H100">
            <v>0.82853429458027561</v>
          </cell>
          <cell r="I100">
            <v>0.83971066812355399</v>
          </cell>
          <cell r="J100">
            <v>0.84847907815974877</v>
          </cell>
          <cell r="K100">
            <v>0.77370091606918956</v>
          </cell>
          <cell r="L100">
            <v>0.81671556637743292</v>
          </cell>
          <cell r="M100">
            <v>0.80254510233211995</v>
          </cell>
          <cell r="N100">
            <v>0.82188592121097792</v>
          </cell>
          <cell r="O100">
            <v>0.77404536192919604</v>
          </cell>
          <cell r="P100">
            <v>0.82437775271419689</v>
          </cell>
          <cell r="Q100">
            <v>0.81608272169588392</v>
          </cell>
          <cell r="R100">
            <v>0.82677393637300456</v>
          </cell>
          <cell r="S100">
            <v>0.79814806347130407</v>
          </cell>
          <cell r="T100">
            <v>0.82934130524746219</v>
          </cell>
          <cell r="U100">
            <v>0.82390742153447161</v>
          </cell>
          <cell r="V100">
            <v>0.83116804944411171</v>
          </cell>
          <cell r="W100">
            <v>0.80118392719596865</v>
          </cell>
          <cell r="X100">
            <v>0.81886697330154168</v>
          </cell>
          <cell r="Y100">
            <v>0.81519692026000057</v>
          </cell>
          <cell r="Z100">
            <v>0.83254306437924397</v>
          </cell>
          <cell r="AD100">
            <v>0</v>
          </cell>
          <cell r="AH100">
            <v>0</v>
          </cell>
          <cell r="AL100">
            <v>0</v>
          </cell>
          <cell r="AP100">
            <v>0</v>
          </cell>
          <cell r="AT100">
            <v>0</v>
          </cell>
          <cell r="AX100">
            <v>0</v>
          </cell>
          <cell r="AZ100">
            <v>0.79223500550607473</v>
          </cell>
          <cell r="BA100">
            <v>0.82563111832663416</v>
          </cell>
          <cell r="BB100">
            <v>0.82629104272471754</v>
          </cell>
          <cell r="BC100">
            <v>0.83669251167848291</v>
          </cell>
          <cell r="BE100">
            <v>0.79326465123548495</v>
          </cell>
          <cell r="BF100">
            <v>0.82695252941184505</v>
          </cell>
          <cell r="BG100">
            <v>0.83366876038538107</v>
          </cell>
          <cell r="BH100">
            <v>0.84266259384112085</v>
          </cell>
          <cell r="BI100">
            <v>0.79110781664271623</v>
          </cell>
          <cell r="BJ100">
            <v>0.82422579220266767</v>
          </cell>
          <cell r="BK100">
            <v>0.81843107010950389</v>
          </cell>
          <cell r="BL100">
            <v>0.83017144430311696</v>
          </cell>
          <cell r="BM100">
            <v>0</v>
          </cell>
          <cell r="BN100">
            <v>0</v>
          </cell>
          <cell r="BO100">
            <v>0</v>
          </cell>
          <cell r="BP100">
            <v>0</v>
          </cell>
          <cell r="BQ100">
            <v>0</v>
          </cell>
          <cell r="BR100">
            <v>0</v>
          </cell>
          <cell r="BS100">
            <v>0</v>
          </cell>
          <cell r="BT100">
            <v>0</v>
          </cell>
        </row>
        <row r="101">
          <cell r="C101">
            <v>10.636137363408201</v>
          </cell>
          <cell r="D101">
            <v>10.1883696554103</v>
          </cell>
          <cell r="E101">
            <v>8.9469094622494456</v>
          </cell>
          <cell r="F101">
            <v>7.004605485179896</v>
          </cell>
          <cell r="G101">
            <v>10.267113789824446</v>
          </cell>
          <cell r="H101">
            <v>9.7217287601388946</v>
          </cell>
          <cell r="I101">
            <v>8.4690098071996047</v>
          </cell>
          <cell r="J101">
            <v>6.4883700410166281</v>
          </cell>
          <cell r="K101">
            <v>10.636753487068191</v>
          </cell>
          <cell r="L101">
            <v>9.6697322596798383</v>
          </cell>
          <cell r="M101">
            <v>7.5574824830096086</v>
          </cell>
          <cell r="N101">
            <v>6.6145630098212811</v>
          </cell>
          <cell r="O101">
            <v>10.584833451619273</v>
          </cell>
          <cell r="P101">
            <v>10.094186674720619</v>
          </cell>
          <cell r="Q101">
            <v>7.8552722082233908</v>
          </cell>
          <cell r="R101">
            <v>6.4787039301096323</v>
          </cell>
          <cell r="S101">
            <v>9.7021603504548803</v>
          </cell>
          <cell r="T101">
            <v>9.6814484197185156</v>
          </cell>
          <cell r="U101">
            <v>7.6277088964871202</v>
          </cell>
          <cell r="V101">
            <v>6.5397349214301386</v>
          </cell>
          <cell r="W101">
            <v>10.139758445807395</v>
          </cell>
          <cell r="X101">
            <v>9.9492058836089292</v>
          </cell>
          <cell r="Y101">
            <v>7.4768311422519869</v>
          </cell>
          <cell r="Z101">
            <v>6.4488928892769897</v>
          </cell>
          <cell r="AD101" t="e">
            <v>#DIV/0!</v>
          </cell>
          <cell r="AH101" t="e">
            <v>#DIV/0!</v>
          </cell>
          <cell r="AL101" t="e">
            <v>#DIV/0!</v>
          </cell>
          <cell r="AP101" t="e">
            <v>#DIV/0!</v>
          </cell>
          <cell r="AT101" t="e">
            <v>#DIV/0!</v>
          </cell>
          <cell r="AX101" t="e">
            <v>#DIV/0!</v>
          </cell>
          <cell r="AZ101">
            <v>10.337993272213659</v>
          </cell>
          <cell r="BA101">
            <v>9.8897016826784956</v>
          </cell>
          <cell r="BB101">
            <v>8.0198863056370762</v>
          </cell>
          <cell r="BC101">
            <v>6.6084429801658722</v>
          </cell>
          <cell r="BE101">
            <v>10.521375343151261</v>
          </cell>
          <cell r="BF101">
            <v>9.8741021558573845</v>
          </cell>
          <cell r="BG101">
            <v>8.358393627301572</v>
          </cell>
          <cell r="BH101">
            <v>6.7157962301283352</v>
          </cell>
          <cell r="BI101">
            <v>10.136691236834428</v>
          </cell>
          <cell r="BJ101">
            <v>9.9063467278557482</v>
          </cell>
          <cell r="BK101">
            <v>7.6525376219473404</v>
          </cell>
          <cell r="BL101">
            <v>6.4894176209207499</v>
          </cell>
          <cell r="BM101" t="e">
            <v>#DIV/0!</v>
          </cell>
          <cell r="BN101" t="e">
            <v>#DIV/0!</v>
          </cell>
          <cell r="BO101" t="e">
            <v>#DIV/0!</v>
          </cell>
          <cell r="BP101" t="e">
            <v>#DIV/0!</v>
          </cell>
          <cell r="BQ101" t="e">
            <v>#DIV/0!</v>
          </cell>
          <cell r="BR101" t="e">
            <v>#DIV/0!</v>
          </cell>
          <cell r="BS101" t="e">
            <v>#DIV/0!</v>
          </cell>
          <cell r="BT101" t="e">
            <v>#DIV/0!</v>
          </cell>
        </row>
        <row r="102">
          <cell r="C102">
            <v>6130943</v>
          </cell>
          <cell r="D102">
            <v>6117536</v>
          </cell>
          <cell r="E102">
            <v>6438513</v>
          </cell>
          <cell r="F102">
            <v>6189175</v>
          </cell>
          <cell r="G102">
            <v>5150327</v>
          </cell>
          <cell r="H102">
            <v>5252622</v>
          </cell>
          <cell r="I102">
            <v>5344734</v>
          </cell>
          <cell r="J102">
            <v>5468508</v>
          </cell>
          <cell r="K102">
            <v>5331223</v>
          </cell>
          <cell r="L102">
            <v>5463046</v>
          </cell>
          <cell r="M102">
            <v>5461567</v>
          </cell>
          <cell r="N102">
            <v>5441691</v>
          </cell>
          <cell r="O102">
            <v>5071457</v>
          </cell>
          <cell r="P102">
            <v>5332525</v>
          </cell>
          <cell r="Q102">
            <v>5273210</v>
          </cell>
          <cell r="R102">
            <v>5095574</v>
          </cell>
          <cell r="S102">
            <v>5278984</v>
          </cell>
          <cell r="T102">
            <v>5415399</v>
          </cell>
          <cell r="U102">
            <v>5341403</v>
          </cell>
          <cell r="V102">
            <v>5266845</v>
          </cell>
          <cell r="W102">
            <v>5228753</v>
          </cell>
          <cell r="X102">
            <v>5068023</v>
          </cell>
          <cell r="Y102">
            <v>5177240</v>
          </cell>
          <cell r="Z102">
            <v>5129943</v>
          </cell>
          <cell r="AD102">
            <v>0</v>
          </cell>
          <cell r="AH102">
            <v>0</v>
          </cell>
          <cell r="AL102">
            <v>0</v>
          </cell>
          <cell r="AP102">
            <v>0</v>
          </cell>
          <cell r="AT102">
            <v>0</v>
          </cell>
          <cell r="AX102">
            <v>0</v>
          </cell>
          <cell r="AZ102">
            <v>32191687</v>
          </cell>
          <cell r="BA102">
            <v>32649151</v>
          </cell>
          <cell r="BB102">
            <v>33036667</v>
          </cell>
          <cell r="BC102">
            <v>32591736</v>
          </cell>
          <cell r="BE102">
            <v>16612493</v>
          </cell>
          <cell r="BF102">
            <v>16833204</v>
          </cell>
          <cell r="BG102">
            <v>17244814</v>
          </cell>
          <cell r="BH102">
            <v>17099374</v>
          </cell>
          <cell r="BI102">
            <v>15579194</v>
          </cell>
          <cell r="BJ102">
            <v>15815947</v>
          </cell>
          <cell r="BK102">
            <v>15791853</v>
          </cell>
          <cell r="BL102">
            <v>15492362</v>
          </cell>
          <cell r="BM102">
            <v>0</v>
          </cell>
          <cell r="BN102">
            <v>0</v>
          </cell>
          <cell r="BO102">
            <v>0</v>
          </cell>
          <cell r="BP102">
            <v>0</v>
          </cell>
          <cell r="BQ102">
            <v>0</v>
          </cell>
          <cell r="BR102">
            <v>0</v>
          </cell>
          <cell r="BS102">
            <v>0</v>
          </cell>
          <cell r="BT102">
            <v>0</v>
          </cell>
        </row>
        <row r="103">
          <cell r="C103">
            <v>2.4724496877321766E-2</v>
          </cell>
          <cell r="D103">
            <v>3.2927492312645405E-2</v>
          </cell>
          <cell r="E103">
            <v>2.7081613926126877E-2</v>
          </cell>
          <cell r="F103">
            <v>2.5626813209750184E-2</v>
          </cell>
          <cell r="G103">
            <v>2.1403796542088727E-2</v>
          </cell>
          <cell r="H103">
            <v>3.4194340723947655E-2</v>
          </cell>
          <cell r="I103">
            <v>3.132004630967803E-2</v>
          </cell>
          <cell r="J103">
            <v>3.5034203667353173E-2</v>
          </cell>
          <cell r="K103">
            <v>3.6077040972587501E-2</v>
          </cell>
          <cell r="L103">
            <v>3.7043389441708229E-2</v>
          </cell>
          <cell r="M103">
            <v>3.1922239128759022E-2</v>
          </cell>
          <cell r="N103">
            <v>3.0799610270783439E-2</v>
          </cell>
          <cell r="O103">
            <v>3.066277074798671E-2</v>
          </cell>
          <cell r="P103">
            <v>3.5675853946295653E-2</v>
          </cell>
          <cell r="Q103">
            <v>3.0443898826063315E-2</v>
          </cell>
          <cell r="R103">
            <v>3.2025616011377371E-2</v>
          </cell>
          <cell r="S103">
            <v>2.8299471576681851E-2</v>
          </cell>
          <cell r="T103">
            <v>3.7710808286070915E-2</v>
          </cell>
          <cell r="U103">
            <v>3.392119298991933E-2</v>
          </cell>
          <cell r="V103">
            <v>3.2072211085162818E-2</v>
          </cell>
          <cell r="W103">
            <v>3.3474537842118297E-2</v>
          </cell>
          <cell r="X103">
            <v>3.8417002931064703E-2</v>
          </cell>
          <cell r="Y103">
            <v>2.6799033810289374E-2</v>
          </cell>
          <cell r="Z103">
            <v>3.0824711335980345E-2</v>
          </cell>
          <cell r="AD103" t="e">
            <v>#DIV/0!</v>
          </cell>
          <cell r="AH103" t="e">
            <v>#DIV/0!</v>
          </cell>
          <cell r="AL103" t="e">
            <v>#DIV/0!</v>
          </cell>
          <cell r="AP103" t="e">
            <v>#DIV/0!</v>
          </cell>
          <cell r="AT103" t="e">
            <v>#DIV/0!</v>
          </cell>
          <cell r="AX103" t="e">
            <v>#DIV/0!</v>
          </cell>
          <cell r="AZ103">
            <v>2.9006309524366402E-2</v>
          </cell>
          <cell r="BA103">
            <v>3.5904202558971303E-2</v>
          </cell>
          <cell r="BB103">
            <v>3.0098675452288476E-2</v>
          </cell>
          <cell r="BC103">
            <v>3.0847952123509031E-2</v>
          </cell>
          <cell r="BE103">
            <v>2.740008374740403E-2</v>
          </cell>
          <cell r="BF103">
            <v>3.4631847255886701E-2</v>
          </cell>
          <cell r="BG103">
            <v>2.9808334378287109E-2</v>
          </cell>
          <cell r="BH103">
            <v>3.0153772365028187E-2</v>
          </cell>
          <cell r="BI103">
            <v>3.0836406824690105E-2</v>
          </cell>
          <cell r="BJ103">
            <v>3.7257415208821129E-2</v>
          </cell>
          <cell r="BK103">
            <v>3.0442816317951704E-2</v>
          </cell>
          <cell r="BL103">
            <v>3.1644456262558823E-2</v>
          </cell>
          <cell r="BM103" t="e">
            <v>#DIV/0!</v>
          </cell>
          <cell r="BN103" t="e">
            <v>#DIV/0!</v>
          </cell>
          <cell r="BO103" t="e">
            <v>#DIV/0!</v>
          </cell>
          <cell r="BP103" t="e">
            <v>#DIV/0!</v>
          </cell>
          <cell r="BQ103" t="e">
            <v>#DIV/0!</v>
          </cell>
          <cell r="BR103" t="e">
            <v>#DIV/0!</v>
          </cell>
          <cell r="BS103" t="e">
            <v>#DIV/0!</v>
          </cell>
          <cell r="BT103" t="e">
            <v>#DIV/0!</v>
          </cell>
        </row>
        <row r="106">
          <cell r="C106">
            <v>661483.7890625</v>
          </cell>
          <cell r="D106">
            <v>629843.71673660399</v>
          </cell>
          <cell r="E106">
            <v>610846.720344926</v>
          </cell>
          <cell r="F106">
            <v>576332.19747500005</v>
          </cell>
          <cell r="G106">
            <v>617603.734375</v>
          </cell>
          <cell r="H106">
            <v>582145.7600557938</v>
          </cell>
          <cell r="I106">
            <v>558747.64718362142</v>
          </cell>
          <cell r="J106">
            <v>554583.6191378599</v>
          </cell>
          <cell r="K106">
            <v>678006.09375</v>
          </cell>
          <cell r="L106">
            <v>615546.61962505151</v>
          </cell>
          <cell r="M106">
            <v>597860.33446248097</v>
          </cell>
          <cell r="N106">
            <v>576117.49234355986</v>
          </cell>
          <cell r="O106">
            <v>665339.2456187529</v>
          </cell>
          <cell r="P106">
            <v>588871.70808693627</v>
          </cell>
          <cell r="Q106">
            <v>589455.99222000386</v>
          </cell>
          <cell r="R106">
            <v>556227.26628499629</v>
          </cell>
          <cell r="S106">
            <v>629655.4478939136</v>
          </cell>
          <cell r="T106">
            <v>601660.42307858367</v>
          </cell>
          <cell r="U106">
            <v>591158.11392133671</v>
          </cell>
          <cell r="V106">
            <v>551628.5503544953</v>
          </cell>
          <cell r="W106">
            <v>611981.65355026664</v>
          </cell>
          <cell r="X106">
            <v>572541.74392053986</v>
          </cell>
          <cell r="Y106">
            <v>559245.9716147721</v>
          </cell>
          <cell r="Z106">
            <v>525313.26697707106</v>
          </cell>
          <cell r="AD106">
            <v>0</v>
          </cell>
          <cell r="AH106">
            <v>0</v>
          </cell>
          <cell r="AL106">
            <v>0</v>
          </cell>
          <cell r="AP106">
            <v>0</v>
          </cell>
          <cell r="AT106">
            <v>0</v>
          </cell>
          <cell r="AX106">
            <v>0</v>
          </cell>
          <cell r="AZ106">
            <v>3864069.9642504337</v>
          </cell>
          <cell r="BA106">
            <v>3590609.9715035092</v>
          </cell>
          <cell r="BB106">
            <v>3507314.7797471411</v>
          </cell>
          <cell r="BC106">
            <v>3340202.3925729822</v>
          </cell>
          <cell r="BE106">
            <v>1957093.6171875</v>
          </cell>
          <cell r="BF106">
            <v>1827536.0964174494</v>
          </cell>
          <cell r="BG106">
            <v>1767454.7019910286</v>
          </cell>
          <cell r="BH106">
            <v>1707033.3089564198</v>
          </cell>
          <cell r="BI106">
            <v>1906976.3470629333</v>
          </cell>
          <cell r="BJ106">
            <v>1763073.8750860598</v>
          </cell>
          <cell r="BK106">
            <v>1739860.0777561124</v>
          </cell>
          <cell r="BL106">
            <v>1633169.0836165627</v>
          </cell>
          <cell r="BM106">
            <v>0</v>
          </cell>
          <cell r="BN106">
            <v>0</v>
          </cell>
          <cell r="BO106">
            <v>0</v>
          </cell>
          <cell r="BP106">
            <v>0</v>
          </cell>
          <cell r="BQ106">
            <v>0</v>
          </cell>
          <cell r="BR106">
            <v>0</v>
          </cell>
          <cell r="BS106">
            <v>0</v>
          </cell>
          <cell r="BT106">
            <v>0</v>
          </cell>
        </row>
        <row r="107">
          <cell r="C107">
            <v>347353.9609375</v>
          </cell>
          <cell r="D107">
            <v>350589.59386121685</v>
          </cell>
          <cell r="E107">
            <v>322165.34643911012</v>
          </cell>
          <cell r="F107">
            <v>287736.19135099999</v>
          </cell>
          <cell r="G107">
            <v>343591.8994140625</v>
          </cell>
          <cell r="H107">
            <v>340887.03564480634</v>
          </cell>
          <cell r="I107">
            <v>307808.31759576651</v>
          </cell>
          <cell r="J107">
            <v>285073.39800850907</v>
          </cell>
          <cell r="K107">
            <v>407468.72802734375</v>
          </cell>
          <cell r="L107">
            <v>380653.11050520279</v>
          </cell>
          <cell r="M107">
            <v>339500.03158050001</v>
          </cell>
          <cell r="N107">
            <v>301713.9135811117</v>
          </cell>
          <cell r="O107">
            <v>406878.23244423821</v>
          </cell>
          <cell r="P107">
            <v>360066.24308924103</v>
          </cell>
          <cell r="Q107">
            <v>321470.80892502255</v>
          </cell>
          <cell r="R107">
            <v>276629.09614843334</v>
          </cell>
          <cell r="S107">
            <v>366280.26607704262</v>
          </cell>
          <cell r="T107">
            <v>363799.21969991107</v>
          </cell>
          <cell r="U107">
            <v>303443.60105775588</v>
          </cell>
          <cell r="V107">
            <v>267431.03037043335</v>
          </cell>
          <cell r="W107">
            <v>345544.58963830816</v>
          </cell>
          <cell r="X107">
            <v>325960.58484144235</v>
          </cell>
          <cell r="Y107">
            <v>293765.55891588621</v>
          </cell>
          <cell r="Z107">
            <v>252528.32752774871</v>
          </cell>
          <cell r="AD107">
            <v>0</v>
          </cell>
          <cell r="AH107">
            <v>0</v>
          </cell>
          <cell r="AL107">
            <v>0</v>
          </cell>
          <cell r="AP107">
            <v>0</v>
          </cell>
          <cell r="AT107">
            <v>0</v>
          </cell>
          <cell r="AX107">
            <v>0</v>
          </cell>
          <cell r="AZ107">
            <v>2217117.6765384953</v>
          </cell>
          <cell r="BA107">
            <v>2121955.7876418205</v>
          </cell>
          <cell r="BB107">
            <v>1888153.664514041</v>
          </cell>
          <cell r="BC107">
            <v>1671111.9569872362</v>
          </cell>
          <cell r="BE107">
            <v>1098414.5883789062</v>
          </cell>
          <cell r="BF107">
            <v>1072129.7400112259</v>
          </cell>
          <cell r="BG107">
            <v>969473.69561537658</v>
          </cell>
          <cell r="BH107">
            <v>874523.50294062076</v>
          </cell>
          <cell r="BI107">
            <v>1118703.0881595891</v>
          </cell>
          <cell r="BJ107">
            <v>1049826.0476305943</v>
          </cell>
          <cell r="BK107">
            <v>918679.96889866458</v>
          </cell>
          <cell r="BL107">
            <v>796588.4540466154</v>
          </cell>
          <cell r="BM107">
            <v>0</v>
          </cell>
          <cell r="BN107">
            <v>0</v>
          </cell>
          <cell r="BO107">
            <v>0</v>
          </cell>
          <cell r="BP107">
            <v>0</v>
          </cell>
          <cell r="BQ107">
            <v>0</v>
          </cell>
          <cell r="BR107">
            <v>0</v>
          </cell>
          <cell r="BS107">
            <v>0</v>
          </cell>
          <cell r="BT107">
            <v>0</v>
          </cell>
        </row>
        <row r="108">
          <cell r="C108">
            <v>0.52511333865005783</v>
          </cell>
          <cell r="D108">
            <v>0.55662950116851106</v>
          </cell>
          <cell r="E108">
            <v>0.52740783523760826</v>
          </cell>
          <cell r="F108">
            <v>0.49925406321495913</v>
          </cell>
          <cell r="G108">
            <v>0.55633067012097837</v>
          </cell>
          <cell r="H108">
            <v>0.58556990196430392</v>
          </cell>
          <cell r="I108">
            <v>0.55088968901664359</v>
          </cell>
          <cell r="J108">
            <v>0.51403140693494731</v>
          </cell>
          <cell r="K108">
            <v>0.60098092300861972</v>
          </cell>
          <cell r="L108">
            <v>0.6183985069028084</v>
          </cell>
          <cell r="M108">
            <v>0.56785843115973689</v>
          </cell>
          <cell r="N108">
            <v>0.52370205312424134</v>
          </cell>
          <cell r="O108">
            <v>0.61153499530280853</v>
          </cell>
          <cell r="P108">
            <v>0.61145108203446541</v>
          </cell>
          <cell r="Q108">
            <v>0.5453686333975537</v>
          </cell>
          <cell r="R108">
            <v>0.49733106037037716</v>
          </cell>
          <cell r="S108">
            <v>0.58171539260429728</v>
          </cell>
          <cell r="T108">
            <v>0.60465871735158949</v>
          </cell>
          <cell r="U108">
            <v>0.51330362201225577</v>
          </cell>
          <cell r="V108">
            <v>0.48480273582390371</v>
          </cell>
          <cell r="W108">
            <v>0.56463226901282593</v>
          </cell>
          <cell r="X108">
            <v>0.56932195477904013</v>
          </cell>
          <cell r="Y108">
            <v>0.52528864547323384</v>
          </cell>
          <cell r="Z108">
            <v>0.48071949330526065</v>
          </cell>
          <cell r="AD108">
            <v>0</v>
          </cell>
          <cell r="AH108">
            <v>0</v>
          </cell>
          <cell r="AL108">
            <v>0</v>
          </cell>
          <cell r="AP108">
            <v>0</v>
          </cell>
          <cell r="AT108">
            <v>0</v>
          </cell>
          <cell r="AX108">
            <v>0</v>
          </cell>
          <cell r="AZ108">
            <v>0.5737778293485376</v>
          </cell>
          <cell r="BA108">
            <v>0.59097362411470333</v>
          </cell>
          <cell r="BB108">
            <v>0.53834736346367151</v>
          </cell>
          <cell r="BC108">
            <v>0.50030260462748977</v>
          </cell>
          <cell r="BE108">
            <v>0.56124785178003689</v>
          </cell>
          <cell r="BF108">
            <v>0.58665311296063616</v>
          </cell>
          <cell r="BG108">
            <v>0.54851402670929528</v>
          </cell>
          <cell r="BH108">
            <v>0.51230605656737493</v>
          </cell>
          <cell r="BI108">
            <v>0.58663710742012165</v>
          </cell>
          <cell r="BJ108">
            <v>0.59545210354804323</v>
          </cell>
          <cell r="BK108">
            <v>0.52801945434800757</v>
          </cell>
          <cell r="BL108">
            <v>0.48775626604602035</v>
          </cell>
          <cell r="BM108">
            <v>0</v>
          </cell>
          <cell r="BN108">
            <v>0</v>
          </cell>
          <cell r="BO108">
            <v>0</v>
          </cell>
          <cell r="BP108">
            <v>0</v>
          </cell>
          <cell r="BQ108">
            <v>0</v>
          </cell>
          <cell r="BR108">
            <v>0</v>
          </cell>
          <cell r="BS108">
            <v>0</v>
          </cell>
          <cell r="BT108">
            <v>0</v>
          </cell>
        </row>
        <row r="109">
          <cell r="C109">
            <v>41.422042317199534</v>
          </cell>
          <cell r="D109">
            <v>39.066801949694522</v>
          </cell>
          <cell r="E109">
            <v>36.826542066004187</v>
          </cell>
          <cell r="F109">
            <v>32.117575166276637</v>
          </cell>
          <cell r="G109">
            <v>41.392608970856074</v>
          </cell>
          <cell r="H109">
            <v>37.715231838256862</v>
          </cell>
          <cell r="I109">
            <v>35.868900880468772</v>
          </cell>
          <cell r="J109">
            <v>30.860052384718252</v>
          </cell>
          <cell r="K109">
            <v>42.774348160113014</v>
          </cell>
          <cell r="L109">
            <v>40.766470623094776</v>
          </cell>
          <cell r="M109">
            <v>35.720904315360769</v>
          </cell>
          <cell r="N109">
            <v>31.678666493463652</v>
          </cell>
          <cell r="O109">
            <v>45.633881265802607</v>
          </cell>
          <cell r="P109">
            <v>46.058219453495717</v>
          </cell>
          <cell r="Q109">
            <v>36.849249589770885</v>
          </cell>
          <cell r="R109">
            <v>33.066252918283247</v>
          </cell>
          <cell r="S109">
            <v>43.086867957774373</v>
          </cell>
          <cell r="T109">
            <v>40.638969473863369</v>
          </cell>
          <cell r="U109">
            <v>36.60982560923263</v>
          </cell>
          <cell r="V109">
            <v>31.673499320820209</v>
          </cell>
          <cell r="W109">
            <v>41.393902503210469</v>
          </cell>
          <cell r="X109">
            <v>34.129877372785863</v>
          </cell>
          <cell r="Y109">
            <v>35.707032541156579</v>
          </cell>
          <cell r="Z109">
            <v>33.198187986983093</v>
          </cell>
          <cell r="AD109" t="e">
            <v>#DIV/0!</v>
          </cell>
          <cell r="AH109" t="e">
            <v>#DIV/0!</v>
          </cell>
          <cell r="AL109" t="e">
            <v>#DIV/0!</v>
          </cell>
          <cell r="AP109" t="e">
            <v>#DIV/0!</v>
          </cell>
          <cell r="AT109" t="e">
            <v>#DIV/0!</v>
          </cell>
          <cell r="AX109" t="e">
            <v>#DIV/0!</v>
          </cell>
          <cell r="AZ109">
            <v>42.709562649303919</v>
          </cell>
          <cell r="BA109">
            <v>39.852084743470719</v>
          </cell>
          <cell r="BB109">
            <v>36.266487685574276</v>
          </cell>
          <cell r="BC109">
            <v>32.073081684555412</v>
          </cell>
          <cell r="BE109">
            <v>41.914396741531959</v>
          </cell>
          <cell r="BF109">
            <v>39.240522938538653</v>
          </cell>
          <cell r="BG109">
            <v>36.13530724811185</v>
          </cell>
          <cell r="BH109">
            <v>31.556228165149335</v>
          </cell>
          <cell r="BI109">
            <v>43.490307641002431</v>
          </cell>
          <cell r="BJ109">
            <v>40.47663925933783</v>
          </cell>
          <cell r="BK109">
            <v>36.404921076749211</v>
          </cell>
          <cell r="BL109">
            <v>32.640502098449254</v>
          </cell>
          <cell r="BM109" t="e">
            <v>#DIV/0!</v>
          </cell>
          <cell r="BN109" t="e">
            <v>#DIV/0!</v>
          </cell>
          <cell r="BO109" t="e">
            <v>#DIV/0!</v>
          </cell>
          <cell r="BP109" t="e">
            <v>#DIV/0!</v>
          </cell>
          <cell r="BQ109" t="e">
            <v>#DIV/0!</v>
          </cell>
          <cell r="BR109" t="e">
            <v>#DIV/0!</v>
          </cell>
          <cell r="BS109" t="e">
            <v>#DIV/0!</v>
          </cell>
          <cell r="BT109" t="e">
            <v>#DIV/0!</v>
          </cell>
        </row>
        <row r="110">
          <cell r="C110">
            <v>89658.93798828125</v>
          </cell>
          <cell r="D110">
            <v>90136.020065330595</v>
          </cell>
          <cell r="E110">
            <v>80541.27686000301</v>
          </cell>
          <cell r="F110">
            <v>77835.210687000013</v>
          </cell>
          <cell r="G110">
            <v>85886.6611328125</v>
          </cell>
          <cell r="H110">
            <v>87697.960839130217</v>
          </cell>
          <cell r="I110">
            <v>75487.319459992985</v>
          </cell>
          <cell r="J110">
            <v>75581.306360001501</v>
          </cell>
          <cell r="K110">
            <v>101365.9912109375</v>
          </cell>
          <cell r="L110">
            <v>94535.567410078831</v>
          </cell>
          <cell r="M110">
            <v>80682.997412400015</v>
          </cell>
          <cell r="N110">
            <v>80990.809426180989</v>
          </cell>
          <cell r="O110">
            <v>104272.87139051291</v>
          </cell>
          <cell r="P110">
            <v>93148.329816384969</v>
          </cell>
          <cell r="Q110">
            <v>83012.213101699977</v>
          </cell>
          <cell r="R110">
            <v>77672.237959999999</v>
          </cell>
          <cell r="S110">
            <v>95709.446584546968</v>
          </cell>
          <cell r="T110">
            <v>95130.735775670124</v>
          </cell>
          <cell r="U110">
            <v>80661.480640000038</v>
          </cell>
          <cell r="V110">
            <v>74469.338149999996</v>
          </cell>
          <cell r="W110">
            <v>89842.050459721795</v>
          </cell>
          <cell r="X110">
            <v>81951.695309999996</v>
          </cell>
          <cell r="Y110">
            <v>83443.029960000014</v>
          </cell>
          <cell r="Z110">
            <v>71745.989779999989</v>
          </cell>
          <cell r="AD110">
            <v>0</v>
          </cell>
          <cell r="AH110">
            <v>0</v>
          </cell>
          <cell r="AL110">
            <v>0</v>
          </cell>
          <cell r="AP110">
            <v>0</v>
          </cell>
          <cell r="AT110">
            <v>0</v>
          </cell>
          <cell r="AX110">
            <v>0</v>
          </cell>
          <cell r="AZ110">
            <v>566735.95876681292</v>
          </cell>
          <cell r="BA110">
            <v>542600.30921659479</v>
          </cell>
          <cell r="BB110">
            <v>483828.31743409601</v>
          </cell>
          <cell r="BC110">
            <v>458294.89236318244</v>
          </cell>
          <cell r="BE110">
            <v>276911.59033203125</v>
          </cell>
          <cell r="BF110">
            <v>272369.54831453966</v>
          </cell>
          <cell r="BG110">
            <v>236711.59373239602</v>
          </cell>
          <cell r="BH110">
            <v>234407.3264731825</v>
          </cell>
          <cell r="BI110">
            <v>289824.36843478167</v>
          </cell>
          <cell r="BJ110">
            <v>270230.76090205507</v>
          </cell>
          <cell r="BK110">
            <v>247116.72370170004</v>
          </cell>
          <cell r="BL110">
            <v>223887.56588999997</v>
          </cell>
          <cell r="BM110">
            <v>0</v>
          </cell>
          <cell r="BN110">
            <v>0</v>
          </cell>
          <cell r="BO110">
            <v>0</v>
          </cell>
          <cell r="BP110">
            <v>0</v>
          </cell>
          <cell r="BQ110">
            <v>0</v>
          </cell>
          <cell r="BR110">
            <v>0</v>
          </cell>
          <cell r="BS110">
            <v>0</v>
          </cell>
          <cell r="BT110">
            <v>0</v>
          </cell>
        </row>
        <row r="111">
          <cell r="C111">
            <v>2.8159253285755404E-2</v>
          </cell>
          <cell r="D111">
            <v>3.0567853235157878E-2</v>
          </cell>
          <cell r="E111">
            <v>3.5614453147982741E-2</v>
          </cell>
          <cell r="F111">
            <v>2.7401006982876952E-2</v>
          </cell>
          <cell r="G111">
            <v>2.9716500047575246E-2</v>
          </cell>
          <cell r="H111">
            <v>3.1044771830543213E-2</v>
          </cell>
          <cell r="I111">
            <v>3.698495555042948E-2</v>
          </cell>
          <cell r="J111">
            <v>2.9047304929875544E-2</v>
          </cell>
          <cell r="K111">
            <v>1.8560304865310167E-2</v>
          </cell>
          <cell r="L111">
            <v>2.7392396101880687E-2</v>
          </cell>
          <cell r="M111">
            <v>3.6265924670763401E-2</v>
          </cell>
          <cell r="N111">
            <v>2.6064676365793571E-2</v>
          </cell>
          <cell r="O111">
            <v>2.3572958749990956E-2</v>
          </cell>
          <cell r="P111">
            <v>2.3339459456412696E-2</v>
          </cell>
          <cell r="Q111">
            <v>3.6767200833411687E-2</v>
          </cell>
          <cell r="R111">
            <v>2.5803041209685507E-2</v>
          </cell>
          <cell r="S111">
            <v>2.7156144212588114E-2</v>
          </cell>
          <cell r="T111">
            <v>2.9408871004925351E-2</v>
          </cell>
          <cell r="U111">
            <v>3.5704586369729917E-2</v>
          </cell>
          <cell r="V111">
            <v>2.4799451925666734E-2</v>
          </cell>
          <cell r="W111">
            <v>2.006318787506892E-2</v>
          </cell>
          <cell r="X111">
            <v>6.1769998371547152E-3</v>
          </cell>
          <cell r="Y111">
            <v>2.8670941825021543E-2</v>
          </cell>
          <cell r="Z111">
            <v>2.4905065418899426E-2</v>
          </cell>
          <cell r="AD111" t="e">
            <v>#DIV/0!</v>
          </cell>
          <cell r="AH111" t="e">
            <v>#DIV/0!</v>
          </cell>
          <cell r="AL111" t="e">
            <v>#DIV/0!</v>
          </cell>
          <cell r="AP111" t="e">
            <v>#DIV/0!</v>
          </cell>
          <cell r="AT111" t="e">
            <v>#DIV/0!</v>
          </cell>
          <cell r="AX111" t="e">
            <v>#DIV/0!</v>
          </cell>
          <cell r="AZ111">
            <v>2.4336970600158978E-2</v>
          </cell>
          <cell r="BA111">
            <v>2.5228682506402641E-2</v>
          </cell>
          <cell r="BB111">
            <v>3.5101208234834889E-2</v>
          </cell>
          <cell r="BC111">
            <v>2.6358663465473893E-2</v>
          </cell>
          <cell r="BE111">
            <v>2.5006477799410454E-2</v>
          </cell>
          <cell r="BF111">
            <v>2.954232787527885E-2</v>
          </cell>
          <cell r="BG111">
            <v>3.6271902755713126E-2</v>
          </cell>
          <cell r="BH111">
            <v>2.7462992797356436E-2</v>
          </cell>
          <cell r="BI111">
            <v>2.3703425630743274E-2</v>
          </cell>
          <cell r="BJ111">
            <v>2.0957926331059789E-2</v>
          </cell>
          <cell r="BK111">
            <v>3.3874935628633779E-2</v>
          </cell>
          <cell r="BL111">
            <v>2.5186564337937898E-2</v>
          </cell>
          <cell r="BM111" t="e">
            <v>#DIV/0!</v>
          </cell>
          <cell r="BN111" t="e">
            <v>#DIV/0!</v>
          </cell>
          <cell r="BO111" t="e">
            <v>#DIV/0!</v>
          </cell>
          <cell r="BP111" t="e">
            <v>#DIV/0!</v>
          </cell>
          <cell r="BQ111" t="e">
            <v>#DIV/0!</v>
          </cell>
          <cell r="BR111" t="e">
            <v>#DIV/0!</v>
          </cell>
          <cell r="BS111" t="e">
            <v>#DIV/0!</v>
          </cell>
          <cell r="BT111" t="e">
            <v>#DIV/0!</v>
          </cell>
        </row>
        <row r="115">
          <cell r="AZ115">
            <v>0</v>
          </cell>
          <cell r="BA115">
            <v>0</v>
          </cell>
          <cell r="BB115">
            <v>0</v>
          </cell>
          <cell r="BC115">
            <v>0</v>
          </cell>
          <cell r="BE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row>
        <row r="116">
          <cell r="AZ116">
            <v>0</v>
          </cell>
          <cell r="BA116">
            <v>0</v>
          </cell>
          <cell r="BB116">
            <v>0</v>
          </cell>
          <cell r="BC116">
            <v>0</v>
          </cell>
          <cell r="BE116">
            <v>0</v>
          </cell>
          <cell r="BF116">
            <v>0</v>
          </cell>
          <cell r="BG116">
            <v>0</v>
          </cell>
          <cell r="BH116">
            <v>0</v>
          </cell>
          <cell r="BI116">
            <v>0</v>
          </cell>
          <cell r="BJ116">
            <v>0</v>
          </cell>
          <cell r="BK116">
            <v>0</v>
          </cell>
          <cell r="BL116">
            <v>0</v>
          </cell>
          <cell r="BM116">
            <v>0</v>
          </cell>
          <cell r="BN116">
            <v>0</v>
          </cell>
          <cell r="BO116">
            <v>0</v>
          </cell>
          <cell r="BP116">
            <v>0</v>
          </cell>
          <cell r="BQ116">
            <v>0</v>
          </cell>
          <cell r="BR116">
            <v>0</v>
          </cell>
          <cell r="BS116">
            <v>0</v>
          </cell>
          <cell r="BT116">
            <v>0</v>
          </cell>
        </row>
        <row r="117">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D117">
            <v>0</v>
          </cell>
          <cell r="AH117">
            <v>0</v>
          </cell>
          <cell r="AL117">
            <v>0</v>
          </cell>
          <cell r="AP117">
            <v>0</v>
          </cell>
          <cell r="AT117">
            <v>0</v>
          </cell>
          <cell r="AX117">
            <v>0</v>
          </cell>
          <cell r="AZ117">
            <v>0</v>
          </cell>
          <cell r="BA117">
            <v>0</v>
          </cell>
          <cell r="BB117">
            <v>0</v>
          </cell>
          <cell r="BC117">
            <v>0</v>
          </cell>
          <cell r="BE117">
            <v>0</v>
          </cell>
          <cell r="BF117">
            <v>0</v>
          </cell>
          <cell r="BG117">
            <v>0</v>
          </cell>
          <cell r="BH117">
            <v>0</v>
          </cell>
          <cell r="BI117">
            <v>0</v>
          </cell>
          <cell r="BJ117">
            <v>0</v>
          </cell>
          <cell r="BK117">
            <v>0</v>
          </cell>
          <cell r="BL117">
            <v>0</v>
          </cell>
          <cell r="BM117">
            <v>0</v>
          </cell>
          <cell r="BN117">
            <v>0</v>
          </cell>
          <cell r="BO117">
            <v>0</v>
          </cell>
          <cell r="BP117">
            <v>0</v>
          </cell>
          <cell r="BQ117">
            <v>0</v>
          </cell>
          <cell r="BR117">
            <v>0</v>
          </cell>
          <cell r="BS117">
            <v>0</v>
          </cell>
          <cell r="BT117">
            <v>0</v>
          </cell>
        </row>
        <row r="118">
          <cell r="AZ118">
            <v>0</v>
          </cell>
          <cell r="BA118">
            <v>0</v>
          </cell>
          <cell r="BB118">
            <v>0</v>
          </cell>
          <cell r="BC118">
            <v>0</v>
          </cell>
          <cell r="BE118">
            <v>0</v>
          </cell>
          <cell r="BF118">
            <v>0</v>
          </cell>
          <cell r="BG118">
            <v>0</v>
          </cell>
          <cell r="BH118">
            <v>0</v>
          </cell>
          <cell r="BI118">
            <v>0</v>
          </cell>
          <cell r="BJ118">
            <v>0</v>
          </cell>
          <cell r="BK118">
            <v>0</v>
          </cell>
          <cell r="BL118">
            <v>0</v>
          </cell>
          <cell r="BM118">
            <v>0</v>
          </cell>
          <cell r="BN118">
            <v>0</v>
          </cell>
          <cell r="BO118">
            <v>0</v>
          </cell>
          <cell r="BP118">
            <v>0</v>
          </cell>
          <cell r="BQ118">
            <v>0</v>
          </cell>
          <cell r="BR118">
            <v>0</v>
          </cell>
          <cell r="BS118">
            <v>0</v>
          </cell>
          <cell r="BT118">
            <v>0</v>
          </cell>
        </row>
        <row r="121">
          <cell r="AZ121">
            <v>0</v>
          </cell>
          <cell r="BA121">
            <v>0</v>
          </cell>
          <cell r="BB121">
            <v>0</v>
          </cell>
          <cell r="BC121">
            <v>0</v>
          </cell>
          <cell r="BE121">
            <v>0</v>
          </cell>
          <cell r="BF121">
            <v>0</v>
          </cell>
          <cell r="BG121">
            <v>0</v>
          </cell>
          <cell r="BH121">
            <v>0</v>
          </cell>
          <cell r="BI121">
            <v>0</v>
          </cell>
          <cell r="BJ121">
            <v>0</v>
          </cell>
          <cell r="BK121">
            <v>0</v>
          </cell>
          <cell r="BL121">
            <v>0</v>
          </cell>
          <cell r="BM121">
            <v>0</v>
          </cell>
          <cell r="BN121">
            <v>0</v>
          </cell>
          <cell r="BO121">
            <v>0</v>
          </cell>
          <cell r="BP121">
            <v>0</v>
          </cell>
          <cell r="BQ121">
            <v>0</v>
          </cell>
          <cell r="BR121">
            <v>0</v>
          </cell>
          <cell r="BS121">
            <v>0</v>
          </cell>
          <cell r="BT121">
            <v>0</v>
          </cell>
        </row>
        <row r="122">
          <cell r="AZ122">
            <v>0</v>
          </cell>
          <cell r="BA122">
            <v>0</v>
          </cell>
          <cell r="BB122">
            <v>0</v>
          </cell>
          <cell r="BC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row>
        <row r="123">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D123">
            <v>0</v>
          </cell>
          <cell r="AH123">
            <v>0</v>
          </cell>
          <cell r="AL123">
            <v>0</v>
          </cell>
          <cell r="AP123">
            <v>0</v>
          </cell>
          <cell r="AT123">
            <v>0</v>
          </cell>
          <cell r="AX123">
            <v>0</v>
          </cell>
          <cell r="AZ123">
            <v>0</v>
          </cell>
          <cell r="BA123">
            <v>0</v>
          </cell>
          <cell r="BB123">
            <v>0</v>
          </cell>
          <cell r="BC123">
            <v>0</v>
          </cell>
          <cell r="BE123">
            <v>0</v>
          </cell>
          <cell r="BF123">
            <v>0</v>
          </cell>
          <cell r="BG123">
            <v>0</v>
          </cell>
          <cell r="BH123">
            <v>0</v>
          </cell>
          <cell r="BI123">
            <v>0</v>
          </cell>
          <cell r="BJ123">
            <v>0</v>
          </cell>
          <cell r="BK123">
            <v>0</v>
          </cell>
          <cell r="BL123">
            <v>0</v>
          </cell>
          <cell r="BM123">
            <v>0</v>
          </cell>
          <cell r="BN123">
            <v>0</v>
          </cell>
          <cell r="BO123">
            <v>0</v>
          </cell>
          <cell r="BP123">
            <v>0</v>
          </cell>
          <cell r="BQ123">
            <v>0</v>
          </cell>
          <cell r="BR123">
            <v>0</v>
          </cell>
          <cell r="BS123">
            <v>0</v>
          </cell>
          <cell r="BT123">
            <v>0</v>
          </cell>
        </row>
        <row r="124">
          <cell r="AZ124">
            <v>0</v>
          </cell>
          <cell r="BA124">
            <v>0</v>
          </cell>
          <cell r="BB124">
            <v>0</v>
          </cell>
          <cell r="BC124">
            <v>0</v>
          </cell>
          <cell r="BE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S124">
            <v>0</v>
          </cell>
          <cell r="BT124">
            <v>0</v>
          </cell>
        </row>
        <row r="127">
          <cell r="AZ127">
            <v>0</v>
          </cell>
          <cell r="BA127">
            <v>0</v>
          </cell>
          <cell r="BB127">
            <v>0</v>
          </cell>
          <cell r="BC127">
            <v>0</v>
          </cell>
          <cell r="BE127">
            <v>0</v>
          </cell>
          <cell r="BF127">
            <v>0</v>
          </cell>
          <cell r="BG127">
            <v>0</v>
          </cell>
          <cell r="BH127">
            <v>0</v>
          </cell>
          <cell r="BI127">
            <v>0</v>
          </cell>
          <cell r="BJ127">
            <v>0</v>
          </cell>
          <cell r="BK127">
            <v>0</v>
          </cell>
          <cell r="BL127">
            <v>0</v>
          </cell>
          <cell r="BM127">
            <v>0</v>
          </cell>
          <cell r="BN127">
            <v>0</v>
          </cell>
          <cell r="BO127">
            <v>0</v>
          </cell>
          <cell r="BP127">
            <v>0</v>
          </cell>
          <cell r="BQ127">
            <v>0</v>
          </cell>
          <cell r="BR127">
            <v>0</v>
          </cell>
          <cell r="BS127">
            <v>0</v>
          </cell>
          <cell r="BT127">
            <v>0</v>
          </cell>
        </row>
        <row r="128">
          <cell r="AZ128">
            <v>0</v>
          </cell>
          <cell r="BA128">
            <v>0</v>
          </cell>
          <cell r="BB128">
            <v>0</v>
          </cell>
          <cell r="BC128">
            <v>0</v>
          </cell>
          <cell r="BE128">
            <v>0</v>
          </cell>
          <cell r="BF128">
            <v>0</v>
          </cell>
          <cell r="BG128">
            <v>0</v>
          </cell>
          <cell r="BH128">
            <v>0</v>
          </cell>
          <cell r="BI128">
            <v>0</v>
          </cell>
          <cell r="BJ128">
            <v>0</v>
          </cell>
          <cell r="BK128">
            <v>0</v>
          </cell>
          <cell r="BL128">
            <v>0</v>
          </cell>
          <cell r="BM128">
            <v>0</v>
          </cell>
          <cell r="BN128">
            <v>0</v>
          </cell>
          <cell r="BO128">
            <v>0</v>
          </cell>
          <cell r="BP128">
            <v>0</v>
          </cell>
          <cell r="BQ128">
            <v>0</v>
          </cell>
          <cell r="BR128">
            <v>0</v>
          </cell>
          <cell r="BS128">
            <v>0</v>
          </cell>
          <cell r="BT128">
            <v>0</v>
          </cell>
        </row>
        <row r="129">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D129">
            <v>0</v>
          </cell>
          <cell r="AH129">
            <v>0</v>
          </cell>
          <cell r="AL129">
            <v>0</v>
          </cell>
          <cell r="AP129">
            <v>0</v>
          </cell>
          <cell r="AT129">
            <v>0</v>
          </cell>
          <cell r="AX129">
            <v>0</v>
          </cell>
          <cell r="AZ129">
            <v>0</v>
          </cell>
          <cell r="BA129">
            <v>0</v>
          </cell>
          <cell r="BB129">
            <v>0</v>
          </cell>
          <cell r="BC129">
            <v>0</v>
          </cell>
          <cell r="BE129">
            <v>0</v>
          </cell>
          <cell r="BF129">
            <v>0</v>
          </cell>
          <cell r="BG129">
            <v>0</v>
          </cell>
          <cell r="BH129">
            <v>0</v>
          </cell>
          <cell r="BI129">
            <v>0</v>
          </cell>
          <cell r="BJ129">
            <v>0</v>
          </cell>
          <cell r="BK129">
            <v>0</v>
          </cell>
          <cell r="BL129">
            <v>0</v>
          </cell>
          <cell r="BM129">
            <v>0</v>
          </cell>
          <cell r="BN129">
            <v>0</v>
          </cell>
          <cell r="BO129">
            <v>0</v>
          </cell>
          <cell r="BP129">
            <v>0</v>
          </cell>
          <cell r="BQ129">
            <v>0</v>
          </cell>
          <cell r="BR129">
            <v>0</v>
          </cell>
          <cell r="BS129">
            <v>0</v>
          </cell>
          <cell r="BT129">
            <v>0</v>
          </cell>
        </row>
        <row r="130">
          <cell r="AZ130">
            <v>0</v>
          </cell>
          <cell r="BA130">
            <v>0</v>
          </cell>
          <cell r="BB130">
            <v>0</v>
          </cell>
          <cell r="BC130">
            <v>0</v>
          </cell>
          <cell r="BE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S130">
            <v>0</v>
          </cell>
          <cell r="BT130">
            <v>0</v>
          </cell>
        </row>
        <row r="133">
          <cell r="AZ133">
            <v>0</v>
          </cell>
          <cell r="BA133">
            <v>0</v>
          </cell>
          <cell r="BB133">
            <v>0</v>
          </cell>
          <cell r="BC133">
            <v>0</v>
          </cell>
          <cell r="BE133">
            <v>0</v>
          </cell>
          <cell r="BF133">
            <v>0</v>
          </cell>
          <cell r="BG133">
            <v>0</v>
          </cell>
          <cell r="BH133">
            <v>0</v>
          </cell>
          <cell r="BI133">
            <v>0</v>
          </cell>
          <cell r="BJ133">
            <v>0</v>
          </cell>
          <cell r="BK133">
            <v>0</v>
          </cell>
          <cell r="BL133">
            <v>0</v>
          </cell>
          <cell r="BM133">
            <v>0</v>
          </cell>
          <cell r="BN133">
            <v>0</v>
          </cell>
          <cell r="BO133">
            <v>0</v>
          </cell>
          <cell r="BP133">
            <v>0</v>
          </cell>
          <cell r="BQ133">
            <v>0</v>
          </cell>
          <cell r="BR133">
            <v>0</v>
          </cell>
          <cell r="BS133">
            <v>0</v>
          </cell>
          <cell r="BT133">
            <v>0</v>
          </cell>
        </row>
        <row r="134">
          <cell r="AZ134">
            <v>0</v>
          </cell>
          <cell r="BA134">
            <v>0</v>
          </cell>
          <cell r="BB134">
            <v>0</v>
          </cell>
          <cell r="BC134">
            <v>0</v>
          </cell>
          <cell r="BE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row>
        <row r="135">
          <cell r="C135">
            <v>0</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D135">
            <v>0</v>
          </cell>
          <cell r="AH135">
            <v>0</v>
          </cell>
          <cell r="AL135">
            <v>0</v>
          </cell>
          <cell r="AP135">
            <v>0</v>
          </cell>
          <cell r="AT135">
            <v>0</v>
          </cell>
          <cell r="AX135">
            <v>0</v>
          </cell>
          <cell r="AZ135">
            <v>0</v>
          </cell>
          <cell r="BA135">
            <v>0</v>
          </cell>
          <cell r="BB135">
            <v>0</v>
          </cell>
          <cell r="BC135">
            <v>0</v>
          </cell>
          <cell r="BE135">
            <v>0</v>
          </cell>
          <cell r="BF135">
            <v>0</v>
          </cell>
          <cell r="BG135">
            <v>0</v>
          </cell>
          <cell r="BH135">
            <v>0</v>
          </cell>
          <cell r="BI135">
            <v>0</v>
          </cell>
          <cell r="BJ135">
            <v>0</v>
          </cell>
          <cell r="BK135">
            <v>0</v>
          </cell>
          <cell r="BL135">
            <v>0</v>
          </cell>
          <cell r="BM135">
            <v>0</v>
          </cell>
          <cell r="BN135">
            <v>0</v>
          </cell>
          <cell r="BO135">
            <v>0</v>
          </cell>
          <cell r="BP135">
            <v>0</v>
          </cell>
          <cell r="BQ135">
            <v>0</v>
          </cell>
          <cell r="BR135">
            <v>0</v>
          </cell>
          <cell r="BS135">
            <v>0</v>
          </cell>
          <cell r="BT135">
            <v>0</v>
          </cell>
        </row>
        <row r="136">
          <cell r="AZ136">
            <v>0</v>
          </cell>
          <cell r="BA136">
            <v>0</v>
          </cell>
          <cell r="BB136">
            <v>0</v>
          </cell>
          <cell r="BC136">
            <v>0</v>
          </cell>
          <cell r="BE136">
            <v>0</v>
          </cell>
          <cell r="BF136">
            <v>0</v>
          </cell>
          <cell r="BG136">
            <v>0</v>
          </cell>
          <cell r="BH136">
            <v>0</v>
          </cell>
          <cell r="BI136">
            <v>0</v>
          </cell>
          <cell r="BJ136">
            <v>0</v>
          </cell>
          <cell r="BK136">
            <v>0</v>
          </cell>
          <cell r="BL136">
            <v>0</v>
          </cell>
          <cell r="BM136">
            <v>0</v>
          </cell>
          <cell r="BN136">
            <v>0</v>
          </cell>
          <cell r="BO136">
            <v>0</v>
          </cell>
          <cell r="BP136">
            <v>0</v>
          </cell>
          <cell r="BQ136">
            <v>0</v>
          </cell>
          <cell r="BR136">
            <v>0</v>
          </cell>
          <cell r="BS136">
            <v>0</v>
          </cell>
          <cell r="BT136">
            <v>0</v>
          </cell>
        </row>
        <row r="139">
          <cell r="AZ139">
            <v>0</v>
          </cell>
          <cell r="BA139">
            <v>0</v>
          </cell>
          <cell r="BB139">
            <v>0</v>
          </cell>
          <cell r="BC139">
            <v>0</v>
          </cell>
          <cell r="BE139">
            <v>0</v>
          </cell>
          <cell r="BF139">
            <v>0</v>
          </cell>
          <cell r="BG139">
            <v>0</v>
          </cell>
          <cell r="BH139">
            <v>0</v>
          </cell>
          <cell r="BI139">
            <v>0</v>
          </cell>
          <cell r="BJ139">
            <v>0</v>
          </cell>
          <cell r="BK139">
            <v>0</v>
          </cell>
          <cell r="BL139">
            <v>0</v>
          </cell>
          <cell r="BM139">
            <v>0</v>
          </cell>
          <cell r="BN139">
            <v>0</v>
          </cell>
          <cell r="BO139">
            <v>0</v>
          </cell>
          <cell r="BP139">
            <v>0</v>
          </cell>
          <cell r="BQ139">
            <v>0</v>
          </cell>
          <cell r="BR139">
            <v>0</v>
          </cell>
          <cell r="BS139">
            <v>0</v>
          </cell>
          <cell r="BT139">
            <v>0</v>
          </cell>
        </row>
        <row r="140">
          <cell r="AZ140">
            <v>0</v>
          </cell>
          <cell r="BA140">
            <v>0</v>
          </cell>
          <cell r="BB140">
            <v>0</v>
          </cell>
          <cell r="BC140">
            <v>0</v>
          </cell>
          <cell r="BE140">
            <v>0</v>
          </cell>
          <cell r="BF140">
            <v>0</v>
          </cell>
          <cell r="BG140">
            <v>0</v>
          </cell>
          <cell r="BH140">
            <v>0</v>
          </cell>
          <cell r="BI140">
            <v>0</v>
          </cell>
          <cell r="BJ140">
            <v>0</v>
          </cell>
          <cell r="BK140">
            <v>0</v>
          </cell>
          <cell r="BL140">
            <v>0</v>
          </cell>
          <cell r="BM140">
            <v>0</v>
          </cell>
          <cell r="BN140">
            <v>0</v>
          </cell>
          <cell r="BO140">
            <v>0</v>
          </cell>
          <cell r="BP140">
            <v>0</v>
          </cell>
          <cell r="BQ140">
            <v>0</v>
          </cell>
          <cell r="BR140">
            <v>0</v>
          </cell>
          <cell r="BS140">
            <v>0</v>
          </cell>
          <cell r="BT140">
            <v>0</v>
          </cell>
        </row>
        <row r="141">
          <cell r="AZ141">
            <v>0</v>
          </cell>
          <cell r="BA141">
            <v>0</v>
          </cell>
          <cell r="BB141">
            <v>0</v>
          </cell>
          <cell r="BC141">
            <v>0</v>
          </cell>
          <cell r="BE141">
            <v>0</v>
          </cell>
          <cell r="BF141">
            <v>0</v>
          </cell>
          <cell r="BG141">
            <v>0</v>
          </cell>
          <cell r="BH141">
            <v>0</v>
          </cell>
          <cell r="BI141">
            <v>0</v>
          </cell>
          <cell r="BJ141">
            <v>0</v>
          </cell>
          <cell r="BK141">
            <v>0</v>
          </cell>
          <cell r="BL141">
            <v>0</v>
          </cell>
          <cell r="BM141">
            <v>0</v>
          </cell>
          <cell r="BN141">
            <v>0</v>
          </cell>
          <cell r="BO141">
            <v>0</v>
          </cell>
          <cell r="BP141">
            <v>0</v>
          </cell>
          <cell r="BQ141">
            <v>0</v>
          </cell>
          <cell r="BR141">
            <v>0</v>
          </cell>
          <cell r="BS141">
            <v>0</v>
          </cell>
          <cell r="BT141">
            <v>0</v>
          </cell>
        </row>
        <row r="142">
          <cell r="AZ142">
            <v>0</v>
          </cell>
          <cell r="BA142">
            <v>0</v>
          </cell>
          <cell r="BB142">
            <v>0</v>
          </cell>
          <cell r="BC142">
            <v>0</v>
          </cell>
          <cell r="BE142">
            <v>0</v>
          </cell>
          <cell r="BF142">
            <v>0</v>
          </cell>
          <cell r="BG142">
            <v>0</v>
          </cell>
          <cell r="BH142">
            <v>0</v>
          </cell>
          <cell r="BI142">
            <v>0</v>
          </cell>
          <cell r="BJ142">
            <v>0</v>
          </cell>
          <cell r="BK142">
            <v>0</v>
          </cell>
          <cell r="BL142">
            <v>0</v>
          </cell>
          <cell r="BM142">
            <v>0</v>
          </cell>
          <cell r="BN142">
            <v>0</v>
          </cell>
          <cell r="BO142">
            <v>0</v>
          </cell>
          <cell r="BP142">
            <v>0</v>
          </cell>
          <cell r="BQ142">
            <v>0</v>
          </cell>
          <cell r="BR142">
            <v>0</v>
          </cell>
          <cell r="BS142">
            <v>0</v>
          </cell>
          <cell r="BT142">
            <v>0</v>
          </cell>
        </row>
        <row r="145">
          <cell r="AZ145">
            <v>0</v>
          </cell>
          <cell r="BA145">
            <v>0</v>
          </cell>
          <cell r="BB145">
            <v>0</v>
          </cell>
          <cell r="BC145">
            <v>0</v>
          </cell>
          <cell r="BE145">
            <v>0</v>
          </cell>
          <cell r="BF145">
            <v>0</v>
          </cell>
          <cell r="BG145">
            <v>0</v>
          </cell>
          <cell r="BH145">
            <v>0</v>
          </cell>
          <cell r="BI145">
            <v>0</v>
          </cell>
          <cell r="BJ145">
            <v>0</v>
          </cell>
          <cell r="BK145">
            <v>0</v>
          </cell>
          <cell r="BL145">
            <v>0</v>
          </cell>
          <cell r="BM145">
            <v>0</v>
          </cell>
          <cell r="BN145">
            <v>0</v>
          </cell>
          <cell r="BO145">
            <v>0</v>
          </cell>
          <cell r="BP145">
            <v>0</v>
          </cell>
          <cell r="BQ145">
            <v>0</v>
          </cell>
          <cell r="BR145">
            <v>0</v>
          </cell>
          <cell r="BS145">
            <v>0</v>
          </cell>
          <cell r="BT145">
            <v>0</v>
          </cell>
        </row>
        <row r="146">
          <cell r="AZ146">
            <v>0</v>
          </cell>
          <cell r="BA146">
            <v>0</v>
          </cell>
          <cell r="BB146">
            <v>0</v>
          </cell>
          <cell r="BC146">
            <v>0</v>
          </cell>
          <cell r="BE146">
            <v>0</v>
          </cell>
          <cell r="BF146">
            <v>0</v>
          </cell>
          <cell r="BG146">
            <v>0</v>
          </cell>
          <cell r="BH146">
            <v>0</v>
          </cell>
          <cell r="BI146">
            <v>0</v>
          </cell>
          <cell r="BJ146">
            <v>0</v>
          </cell>
          <cell r="BK146">
            <v>0</v>
          </cell>
          <cell r="BL146">
            <v>0</v>
          </cell>
          <cell r="BM146">
            <v>0</v>
          </cell>
          <cell r="BN146">
            <v>0</v>
          </cell>
          <cell r="BO146">
            <v>0</v>
          </cell>
          <cell r="BP146">
            <v>0</v>
          </cell>
          <cell r="BQ146">
            <v>0</v>
          </cell>
          <cell r="BR146">
            <v>0</v>
          </cell>
          <cell r="BS146">
            <v>0</v>
          </cell>
          <cell r="BT146">
            <v>0</v>
          </cell>
        </row>
        <row r="147">
          <cell r="AZ147">
            <v>0</v>
          </cell>
          <cell r="BA147">
            <v>0</v>
          </cell>
          <cell r="BB147">
            <v>0</v>
          </cell>
          <cell r="BC147">
            <v>0</v>
          </cell>
          <cell r="BE147">
            <v>0</v>
          </cell>
          <cell r="BF147">
            <v>0</v>
          </cell>
          <cell r="BG147">
            <v>0</v>
          </cell>
          <cell r="BH147">
            <v>0</v>
          </cell>
          <cell r="BI147">
            <v>0</v>
          </cell>
          <cell r="BJ147">
            <v>0</v>
          </cell>
          <cell r="BK147">
            <v>0</v>
          </cell>
          <cell r="BL147">
            <v>0</v>
          </cell>
          <cell r="BM147">
            <v>0</v>
          </cell>
          <cell r="BN147">
            <v>0</v>
          </cell>
          <cell r="BO147">
            <v>0</v>
          </cell>
          <cell r="BP147">
            <v>0</v>
          </cell>
          <cell r="BQ147">
            <v>0</v>
          </cell>
          <cell r="BR147">
            <v>0</v>
          </cell>
          <cell r="BS147">
            <v>0</v>
          </cell>
          <cell r="BT147">
            <v>0</v>
          </cell>
        </row>
        <row r="148">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D148">
            <v>0</v>
          </cell>
          <cell r="AH148">
            <v>0</v>
          </cell>
          <cell r="AL148">
            <v>0</v>
          </cell>
          <cell r="AP148">
            <v>0</v>
          </cell>
          <cell r="AT148">
            <v>0</v>
          </cell>
          <cell r="AX148">
            <v>0</v>
          </cell>
          <cell r="AZ148">
            <v>0</v>
          </cell>
          <cell r="BA148">
            <v>0</v>
          </cell>
          <cell r="BB148">
            <v>0</v>
          </cell>
          <cell r="BC148">
            <v>0</v>
          </cell>
          <cell r="BE148">
            <v>0</v>
          </cell>
          <cell r="BF148">
            <v>0</v>
          </cell>
          <cell r="BG148">
            <v>0</v>
          </cell>
          <cell r="BH148">
            <v>0</v>
          </cell>
          <cell r="BI148">
            <v>0</v>
          </cell>
          <cell r="BJ148">
            <v>0</v>
          </cell>
          <cell r="BK148">
            <v>0</v>
          </cell>
          <cell r="BL148">
            <v>0</v>
          </cell>
          <cell r="BM148">
            <v>0</v>
          </cell>
          <cell r="BN148">
            <v>0</v>
          </cell>
          <cell r="BO148">
            <v>0</v>
          </cell>
          <cell r="BP148">
            <v>0</v>
          </cell>
          <cell r="BQ148">
            <v>0</v>
          </cell>
          <cell r="BR148">
            <v>0</v>
          </cell>
          <cell r="BS148">
            <v>0</v>
          </cell>
          <cell r="BT148">
            <v>0</v>
          </cell>
        </row>
        <row r="149">
          <cell r="AZ149">
            <v>0</v>
          </cell>
          <cell r="BA149">
            <v>0</v>
          </cell>
          <cell r="BB149">
            <v>0</v>
          </cell>
          <cell r="BC149">
            <v>0</v>
          </cell>
          <cell r="BE149">
            <v>0</v>
          </cell>
          <cell r="BF149">
            <v>0</v>
          </cell>
          <cell r="BG149">
            <v>0</v>
          </cell>
          <cell r="BH149">
            <v>0</v>
          </cell>
          <cell r="BI149">
            <v>0</v>
          </cell>
          <cell r="BJ149">
            <v>0</v>
          </cell>
          <cell r="BK149">
            <v>0</v>
          </cell>
          <cell r="BL149">
            <v>0</v>
          </cell>
          <cell r="BM149">
            <v>0</v>
          </cell>
          <cell r="BN149">
            <v>0</v>
          </cell>
          <cell r="BO149">
            <v>0</v>
          </cell>
          <cell r="BP149">
            <v>0</v>
          </cell>
          <cell r="BQ149">
            <v>0</v>
          </cell>
          <cell r="BR149">
            <v>0</v>
          </cell>
          <cell r="BS149">
            <v>0</v>
          </cell>
          <cell r="BT149">
            <v>0</v>
          </cell>
        </row>
        <row r="150">
          <cell r="AZ150">
            <v>0</v>
          </cell>
          <cell r="BA150">
            <v>0</v>
          </cell>
          <cell r="BB150">
            <v>0</v>
          </cell>
          <cell r="BC150">
            <v>0</v>
          </cell>
          <cell r="BE150">
            <v>0</v>
          </cell>
          <cell r="BF150">
            <v>0</v>
          </cell>
          <cell r="BG150">
            <v>0</v>
          </cell>
          <cell r="BH150">
            <v>0</v>
          </cell>
          <cell r="BI150">
            <v>0</v>
          </cell>
          <cell r="BJ150">
            <v>0</v>
          </cell>
          <cell r="BK150">
            <v>0</v>
          </cell>
          <cell r="BL150">
            <v>0</v>
          </cell>
          <cell r="BM150">
            <v>0</v>
          </cell>
          <cell r="BN150">
            <v>0</v>
          </cell>
          <cell r="BO150">
            <v>0</v>
          </cell>
          <cell r="BP150">
            <v>0</v>
          </cell>
          <cell r="BQ150">
            <v>0</v>
          </cell>
          <cell r="BR150">
            <v>0</v>
          </cell>
          <cell r="BS150">
            <v>0</v>
          </cell>
          <cell r="BT150">
            <v>0</v>
          </cell>
        </row>
        <row r="151">
          <cell r="C151" t="e">
            <v>#DIV/0!</v>
          </cell>
          <cell r="D151" t="e">
            <v>#DIV/0!</v>
          </cell>
          <cell r="E151" t="e">
            <v>#DIV/0!</v>
          </cell>
          <cell r="F151" t="e">
            <v>#DIV/0!</v>
          </cell>
          <cell r="G151" t="e">
            <v>#DIV/0!</v>
          </cell>
          <cell r="H151" t="e">
            <v>#DIV/0!</v>
          </cell>
          <cell r="I151" t="e">
            <v>#DIV/0!</v>
          </cell>
          <cell r="J151" t="e">
            <v>#DIV/0!</v>
          </cell>
          <cell r="K151" t="e">
            <v>#DIV/0!</v>
          </cell>
          <cell r="L151" t="e">
            <v>#DIV/0!</v>
          </cell>
          <cell r="M151" t="e">
            <v>#DIV/0!</v>
          </cell>
          <cell r="N151" t="e">
            <v>#DIV/0!</v>
          </cell>
          <cell r="O151" t="e">
            <v>#DIV/0!</v>
          </cell>
          <cell r="P151" t="e">
            <v>#DIV/0!</v>
          </cell>
          <cell r="Q151" t="e">
            <v>#DIV/0!</v>
          </cell>
          <cell r="R151" t="e">
            <v>#DIV/0!</v>
          </cell>
          <cell r="S151" t="e">
            <v>#DIV/0!</v>
          </cell>
          <cell r="T151" t="e">
            <v>#DIV/0!</v>
          </cell>
          <cell r="U151" t="e">
            <v>#DIV/0!</v>
          </cell>
          <cell r="V151" t="e">
            <v>#DIV/0!</v>
          </cell>
          <cell r="W151" t="e">
            <v>#DIV/0!</v>
          </cell>
          <cell r="X151" t="e">
            <v>#DIV/0!</v>
          </cell>
          <cell r="Y151" t="e">
            <v>#DIV/0!</v>
          </cell>
          <cell r="Z151" t="e">
            <v>#DIV/0!</v>
          </cell>
          <cell r="AD151" t="e">
            <v>#DIV/0!</v>
          </cell>
          <cell r="AH151" t="e">
            <v>#DIV/0!</v>
          </cell>
          <cell r="AL151" t="e">
            <v>#DIV/0!</v>
          </cell>
          <cell r="AP151" t="e">
            <v>#DIV/0!</v>
          </cell>
          <cell r="AT151" t="e">
            <v>#DIV/0!</v>
          </cell>
          <cell r="AX151" t="e">
            <v>#DIV/0!</v>
          </cell>
          <cell r="AZ151" t="e">
            <v>#DIV/0!</v>
          </cell>
          <cell r="BA151" t="e">
            <v>#DIV/0!</v>
          </cell>
          <cell r="BB151" t="e">
            <v>#DIV/0!</v>
          </cell>
          <cell r="BC151" t="e">
            <v>#DIV/0!</v>
          </cell>
          <cell r="BE151" t="e">
            <v>#DIV/0!</v>
          </cell>
          <cell r="BF151" t="e">
            <v>#DIV/0!</v>
          </cell>
          <cell r="BG151" t="e">
            <v>#DIV/0!</v>
          </cell>
          <cell r="BH151" t="e">
            <v>#DIV/0!</v>
          </cell>
          <cell r="BI151" t="e">
            <v>#DIV/0!</v>
          </cell>
          <cell r="BJ151" t="e">
            <v>#DIV/0!</v>
          </cell>
          <cell r="BK151" t="e">
            <v>#DIV/0!</v>
          </cell>
          <cell r="BL151" t="e">
            <v>#DIV/0!</v>
          </cell>
          <cell r="BM151" t="e">
            <v>#DIV/0!</v>
          </cell>
          <cell r="BN151" t="e">
            <v>#DIV/0!</v>
          </cell>
          <cell r="BO151" t="e">
            <v>#DIV/0!</v>
          </cell>
          <cell r="BP151" t="e">
            <v>#DIV/0!</v>
          </cell>
          <cell r="BQ151" t="e">
            <v>#DIV/0!</v>
          </cell>
          <cell r="BR151" t="e">
            <v>#DIV/0!</v>
          </cell>
          <cell r="BS151" t="e">
            <v>#DIV/0!</v>
          </cell>
          <cell r="BT151" t="e">
            <v>#DIV/0!</v>
          </cell>
        </row>
        <row r="152">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D152">
            <v>0</v>
          </cell>
          <cell r="AH152">
            <v>0</v>
          </cell>
          <cell r="AL152">
            <v>0</v>
          </cell>
          <cell r="AP152">
            <v>0</v>
          </cell>
          <cell r="AT152">
            <v>0</v>
          </cell>
          <cell r="AX152">
            <v>0</v>
          </cell>
          <cell r="AZ152">
            <v>0</v>
          </cell>
          <cell r="BA152">
            <v>0</v>
          </cell>
          <cell r="BB152">
            <v>0</v>
          </cell>
          <cell r="BC152">
            <v>0</v>
          </cell>
          <cell r="BE152">
            <v>0</v>
          </cell>
          <cell r="BF152">
            <v>0</v>
          </cell>
          <cell r="BG152">
            <v>0</v>
          </cell>
          <cell r="BH152">
            <v>0</v>
          </cell>
          <cell r="BI152">
            <v>0</v>
          </cell>
          <cell r="BJ152">
            <v>0</v>
          </cell>
          <cell r="BK152">
            <v>0</v>
          </cell>
          <cell r="BL152">
            <v>0</v>
          </cell>
          <cell r="BM152">
            <v>0</v>
          </cell>
          <cell r="BN152">
            <v>0</v>
          </cell>
          <cell r="BO152">
            <v>0</v>
          </cell>
          <cell r="BP152">
            <v>0</v>
          </cell>
          <cell r="BQ152">
            <v>0</v>
          </cell>
          <cell r="BR152">
            <v>0</v>
          </cell>
          <cell r="BS152">
            <v>0</v>
          </cell>
          <cell r="BT152">
            <v>0</v>
          </cell>
        </row>
        <row r="153">
          <cell r="AZ153">
            <v>0</v>
          </cell>
          <cell r="BA153">
            <v>0</v>
          </cell>
          <cell r="BB153">
            <v>0</v>
          </cell>
          <cell r="BC153">
            <v>0</v>
          </cell>
          <cell r="BE153">
            <v>0</v>
          </cell>
          <cell r="BF153">
            <v>0</v>
          </cell>
          <cell r="BG153">
            <v>0</v>
          </cell>
          <cell r="BH153">
            <v>0</v>
          </cell>
          <cell r="BI153">
            <v>0</v>
          </cell>
          <cell r="BJ153">
            <v>0</v>
          </cell>
          <cell r="BK153">
            <v>0</v>
          </cell>
          <cell r="BL153">
            <v>0</v>
          </cell>
          <cell r="BM153">
            <v>0</v>
          </cell>
          <cell r="BN153">
            <v>0</v>
          </cell>
          <cell r="BO153">
            <v>0</v>
          </cell>
          <cell r="BP153">
            <v>0</v>
          </cell>
          <cell r="BQ153">
            <v>0</v>
          </cell>
          <cell r="BR153">
            <v>0</v>
          </cell>
          <cell r="BS153">
            <v>0</v>
          </cell>
          <cell r="BT153">
            <v>0</v>
          </cell>
        </row>
        <row r="154">
          <cell r="AZ154">
            <v>0</v>
          </cell>
          <cell r="BA154">
            <v>0</v>
          </cell>
          <cell r="BB154">
            <v>0</v>
          </cell>
          <cell r="BC154">
            <v>0</v>
          </cell>
          <cell r="BE154">
            <v>0</v>
          </cell>
          <cell r="BF154">
            <v>0</v>
          </cell>
          <cell r="BG154">
            <v>0</v>
          </cell>
          <cell r="BH154">
            <v>0</v>
          </cell>
          <cell r="BI154">
            <v>0</v>
          </cell>
          <cell r="BJ154">
            <v>0</v>
          </cell>
          <cell r="BK154">
            <v>0</v>
          </cell>
          <cell r="BL154">
            <v>0</v>
          </cell>
          <cell r="BM154">
            <v>0</v>
          </cell>
          <cell r="BN154">
            <v>0</v>
          </cell>
          <cell r="BO154">
            <v>0</v>
          </cell>
          <cell r="BP154">
            <v>0</v>
          </cell>
          <cell r="BQ154">
            <v>0</v>
          </cell>
          <cell r="BR154">
            <v>0</v>
          </cell>
          <cell r="BS154">
            <v>0</v>
          </cell>
          <cell r="BT154">
            <v>0</v>
          </cell>
        </row>
        <row r="157">
          <cell r="AZ157">
            <v>0</v>
          </cell>
          <cell r="BA157">
            <v>0</v>
          </cell>
          <cell r="BB157">
            <v>0</v>
          </cell>
          <cell r="BC157">
            <v>0</v>
          </cell>
          <cell r="BE157">
            <v>0</v>
          </cell>
          <cell r="BF157">
            <v>0</v>
          </cell>
          <cell r="BG157">
            <v>0</v>
          </cell>
          <cell r="BH157">
            <v>0</v>
          </cell>
          <cell r="BI157">
            <v>0</v>
          </cell>
          <cell r="BJ157">
            <v>0</v>
          </cell>
          <cell r="BK157">
            <v>0</v>
          </cell>
          <cell r="BL157">
            <v>0</v>
          </cell>
          <cell r="BM157">
            <v>0</v>
          </cell>
          <cell r="BN157">
            <v>0</v>
          </cell>
          <cell r="BO157">
            <v>0</v>
          </cell>
          <cell r="BP157">
            <v>0</v>
          </cell>
          <cell r="BQ157">
            <v>0</v>
          </cell>
          <cell r="BR157">
            <v>0</v>
          </cell>
          <cell r="BS157">
            <v>0</v>
          </cell>
          <cell r="BT157">
            <v>0</v>
          </cell>
        </row>
        <row r="158">
          <cell r="AZ158">
            <v>0</v>
          </cell>
          <cell r="BA158">
            <v>0</v>
          </cell>
          <cell r="BB158">
            <v>0</v>
          </cell>
          <cell r="BC158">
            <v>0</v>
          </cell>
          <cell r="BE158">
            <v>0</v>
          </cell>
          <cell r="BF158">
            <v>0</v>
          </cell>
          <cell r="BG158">
            <v>0</v>
          </cell>
          <cell r="BH158">
            <v>0</v>
          </cell>
          <cell r="BI158">
            <v>0</v>
          </cell>
          <cell r="BJ158">
            <v>0</v>
          </cell>
          <cell r="BK158">
            <v>0</v>
          </cell>
          <cell r="BL158">
            <v>0</v>
          </cell>
          <cell r="BM158">
            <v>0</v>
          </cell>
          <cell r="BN158">
            <v>0</v>
          </cell>
          <cell r="BO158">
            <v>0</v>
          </cell>
          <cell r="BP158">
            <v>0</v>
          </cell>
          <cell r="BQ158">
            <v>0</v>
          </cell>
          <cell r="BR158">
            <v>0</v>
          </cell>
          <cell r="BS158">
            <v>0</v>
          </cell>
          <cell r="BT158">
            <v>0</v>
          </cell>
        </row>
        <row r="159">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D159">
            <v>0</v>
          </cell>
          <cell r="AH159">
            <v>0</v>
          </cell>
          <cell r="AL159">
            <v>0</v>
          </cell>
          <cell r="AP159">
            <v>0</v>
          </cell>
          <cell r="AT159">
            <v>0</v>
          </cell>
          <cell r="AX159">
            <v>0</v>
          </cell>
          <cell r="AZ159">
            <v>0</v>
          </cell>
          <cell r="BA159">
            <v>0</v>
          </cell>
          <cell r="BB159">
            <v>0</v>
          </cell>
          <cell r="BC159">
            <v>0</v>
          </cell>
          <cell r="BE159">
            <v>0</v>
          </cell>
          <cell r="BF159">
            <v>0</v>
          </cell>
          <cell r="BG159">
            <v>0</v>
          </cell>
          <cell r="BH159">
            <v>0</v>
          </cell>
          <cell r="BI159">
            <v>0</v>
          </cell>
          <cell r="BJ159">
            <v>0</v>
          </cell>
          <cell r="BK159">
            <v>0</v>
          </cell>
          <cell r="BL159">
            <v>0</v>
          </cell>
          <cell r="BM159">
            <v>0</v>
          </cell>
          <cell r="BN159">
            <v>0</v>
          </cell>
          <cell r="BO159">
            <v>0</v>
          </cell>
          <cell r="BP159">
            <v>0</v>
          </cell>
          <cell r="BQ159">
            <v>0</v>
          </cell>
          <cell r="BR159">
            <v>0</v>
          </cell>
          <cell r="BS159">
            <v>0</v>
          </cell>
          <cell r="BT159">
            <v>0</v>
          </cell>
        </row>
        <row r="160">
          <cell r="AZ160">
            <v>0</v>
          </cell>
          <cell r="BA160">
            <v>0</v>
          </cell>
          <cell r="BB160">
            <v>0</v>
          </cell>
          <cell r="BC160">
            <v>0</v>
          </cell>
          <cell r="BE160">
            <v>0</v>
          </cell>
          <cell r="BF160">
            <v>0</v>
          </cell>
          <cell r="BG160">
            <v>0</v>
          </cell>
          <cell r="BH160">
            <v>0</v>
          </cell>
          <cell r="BI160">
            <v>0</v>
          </cell>
          <cell r="BJ160">
            <v>0</v>
          </cell>
          <cell r="BK160">
            <v>0</v>
          </cell>
          <cell r="BL160">
            <v>0</v>
          </cell>
          <cell r="BM160">
            <v>0</v>
          </cell>
          <cell r="BN160">
            <v>0</v>
          </cell>
          <cell r="BO160">
            <v>0</v>
          </cell>
          <cell r="BP160">
            <v>0</v>
          </cell>
          <cell r="BQ160">
            <v>0</v>
          </cell>
          <cell r="BR160">
            <v>0</v>
          </cell>
          <cell r="BS160">
            <v>0</v>
          </cell>
          <cell r="BT160">
            <v>0</v>
          </cell>
        </row>
        <row r="163">
          <cell r="AZ163">
            <v>0</v>
          </cell>
          <cell r="BA163">
            <v>0</v>
          </cell>
          <cell r="BB163">
            <v>0</v>
          </cell>
          <cell r="BC163">
            <v>0</v>
          </cell>
          <cell r="BE163">
            <v>0</v>
          </cell>
          <cell r="BF163">
            <v>0</v>
          </cell>
          <cell r="BG163">
            <v>0</v>
          </cell>
          <cell r="BH163">
            <v>0</v>
          </cell>
          <cell r="BI163">
            <v>0</v>
          </cell>
          <cell r="BJ163">
            <v>0</v>
          </cell>
          <cell r="BK163">
            <v>0</v>
          </cell>
          <cell r="BL163">
            <v>0</v>
          </cell>
          <cell r="BM163">
            <v>0</v>
          </cell>
          <cell r="BN163">
            <v>0</v>
          </cell>
          <cell r="BO163">
            <v>0</v>
          </cell>
          <cell r="BP163">
            <v>0</v>
          </cell>
          <cell r="BQ163">
            <v>0</v>
          </cell>
          <cell r="BR163">
            <v>0</v>
          </cell>
          <cell r="BS163">
            <v>0</v>
          </cell>
          <cell r="BT163">
            <v>0</v>
          </cell>
        </row>
        <row r="164">
          <cell r="AZ164">
            <v>0</v>
          </cell>
          <cell r="BA164">
            <v>0</v>
          </cell>
          <cell r="BB164">
            <v>0</v>
          </cell>
          <cell r="BC164">
            <v>0</v>
          </cell>
          <cell r="BE164">
            <v>0</v>
          </cell>
          <cell r="BF164">
            <v>0</v>
          </cell>
          <cell r="BG164">
            <v>0</v>
          </cell>
          <cell r="BH164">
            <v>0</v>
          </cell>
          <cell r="BI164">
            <v>0</v>
          </cell>
          <cell r="BJ164">
            <v>0</v>
          </cell>
          <cell r="BK164">
            <v>0</v>
          </cell>
          <cell r="BL164">
            <v>0</v>
          </cell>
          <cell r="BM164">
            <v>0</v>
          </cell>
          <cell r="BN164">
            <v>0</v>
          </cell>
          <cell r="BO164">
            <v>0</v>
          </cell>
          <cell r="BP164">
            <v>0</v>
          </cell>
          <cell r="BQ164">
            <v>0</v>
          </cell>
          <cell r="BR164">
            <v>0</v>
          </cell>
          <cell r="BS164">
            <v>0</v>
          </cell>
          <cell r="BT164">
            <v>0</v>
          </cell>
        </row>
        <row r="165">
          <cell r="C165">
            <v>0</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D165">
            <v>0</v>
          </cell>
          <cell r="AH165">
            <v>0</v>
          </cell>
          <cell r="AL165">
            <v>0</v>
          </cell>
          <cell r="AP165">
            <v>0</v>
          </cell>
          <cell r="AT165">
            <v>0</v>
          </cell>
          <cell r="AX165">
            <v>0</v>
          </cell>
          <cell r="AZ165">
            <v>0</v>
          </cell>
          <cell r="BA165">
            <v>0</v>
          </cell>
          <cell r="BB165">
            <v>0</v>
          </cell>
          <cell r="BC165">
            <v>0</v>
          </cell>
          <cell r="BE165">
            <v>0</v>
          </cell>
          <cell r="BF165">
            <v>0</v>
          </cell>
          <cell r="BG165">
            <v>0</v>
          </cell>
          <cell r="BH165">
            <v>0</v>
          </cell>
          <cell r="BI165">
            <v>0</v>
          </cell>
          <cell r="BJ165">
            <v>0</v>
          </cell>
          <cell r="BK165">
            <v>0</v>
          </cell>
          <cell r="BL165">
            <v>0</v>
          </cell>
          <cell r="BM165">
            <v>0</v>
          </cell>
          <cell r="BN165">
            <v>0</v>
          </cell>
          <cell r="BO165">
            <v>0</v>
          </cell>
          <cell r="BP165">
            <v>0</v>
          </cell>
          <cell r="BQ165">
            <v>0</v>
          </cell>
          <cell r="BR165">
            <v>0</v>
          </cell>
          <cell r="BS165">
            <v>0</v>
          </cell>
          <cell r="BT165">
            <v>0</v>
          </cell>
        </row>
        <row r="166">
          <cell r="AZ166">
            <v>0</v>
          </cell>
          <cell r="BA166">
            <v>0</v>
          </cell>
          <cell r="BB166">
            <v>0</v>
          </cell>
          <cell r="BC166">
            <v>0</v>
          </cell>
          <cell r="BE166">
            <v>0</v>
          </cell>
          <cell r="BF166">
            <v>0</v>
          </cell>
          <cell r="BG166">
            <v>0</v>
          </cell>
          <cell r="BH166">
            <v>0</v>
          </cell>
          <cell r="BI166">
            <v>0</v>
          </cell>
          <cell r="BJ166">
            <v>0</v>
          </cell>
          <cell r="BK166">
            <v>0</v>
          </cell>
          <cell r="BL166">
            <v>0</v>
          </cell>
          <cell r="BM166">
            <v>0</v>
          </cell>
          <cell r="BN166">
            <v>0</v>
          </cell>
          <cell r="BO166">
            <v>0</v>
          </cell>
          <cell r="BP166">
            <v>0</v>
          </cell>
          <cell r="BQ166">
            <v>0</v>
          </cell>
          <cell r="BR166">
            <v>0</v>
          </cell>
          <cell r="BS166">
            <v>0</v>
          </cell>
          <cell r="BT166">
            <v>0</v>
          </cell>
        </row>
        <row r="169">
          <cell r="AZ169">
            <v>0</v>
          </cell>
          <cell r="BA169">
            <v>0</v>
          </cell>
          <cell r="BB169">
            <v>0</v>
          </cell>
          <cell r="BC169">
            <v>0</v>
          </cell>
          <cell r="BE169">
            <v>0</v>
          </cell>
          <cell r="BF169">
            <v>0</v>
          </cell>
          <cell r="BG169">
            <v>0</v>
          </cell>
          <cell r="BH169">
            <v>0</v>
          </cell>
          <cell r="BI169">
            <v>0</v>
          </cell>
          <cell r="BJ169">
            <v>0</v>
          </cell>
          <cell r="BK169">
            <v>0</v>
          </cell>
          <cell r="BL169">
            <v>0</v>
          </cell>
          <cell r="BM169">
            <v>0</v>
          </cell>
          <cell r="BN169">
            <v>0</v>
          </cell>
          <cell r="BO169">
            <v>0</v>
          </cell>
          <cell r="BP169">
            <v>0</v>
          </cell>
          <cell r="BQ169">
            <v>0</v>
          </cell>
          <cell r="BR169">
            <v>0</v>
          </cell>
          <cell r="BS169">
            <v>0</v>
          </cell>
          <cell r="BT169">
            <v>0</v>
          </cell>
        </row>
        <row r="170">
          <cell r="AZ170">
            <v>0</v>
          </cell>
          <cell r="BA170">
            <v>0</v>
          </cell>
          <cell r="BB170">
            <v>0</v>
          </cell>
          <cell r="BC170">
            <v>0</v>
          </cell>
          <cell r="BE170">
            <v>0</v>
          </cell>
          <cell r="BF170">
            <v>0</v>
          </cell>
          <cell r="BG170">
            <v>0</v>
          </cell>
          <cell r="BH170">
            <v>0</v>
          </cell>
          <cell r="BI170">
            <v>0</v>
          </cell>
          <cell r="BJ170">
            <v>0</v>
          </cell>
          <cell r="BK170">
            <v>0</v>
          </cell>
          <cell r="BL170">
            <v>0</v>
          </cell>
          <cell r="BM170">
            <v>0</v>
          </cell>
          <cell r="BN170">
            <v>0</v>
          </cell>
          <cell r="BO170">
            <v>0</v>
          </cell>
          <cell r="BP170">
            <v>0</v>
          </cell>
          <cell r="BQ170">
            <v>0</v>
          </cell>
          <cell r="BR170">
            <v>0</v>
          </cell>
          <cell r="BS170">
            <v>0</v>
          </cell>
          <cell r="BT170">
            <v>0</v>
          </cell>
        </row>
        <row r="171">
          <cell r="AZ171">
            <v>0</v>
          </cell>
          <cell r="BA171">
            <v>0</v>
          </cell>
          <cell r="BB171">
            <v>0</v>
          </cell>
          <cell r="BC171">
            <v>0</v>
          </cell>
          <cell r="BE171">
            <v>0</v>
          </cell>
          <cell r="BF171">
            <v>0</v>
          </cell>
          <cell r="BG171">
            <v>0</v>
          </cell>
          <cell r="BH171">
            <v>0</v>
          </cell>
          <cell r="BI171">
            <v>0</v>
          </cell>
          <cell r="BJ171">
            <v>0</v>
          </cell>
          <cell r="BK171">
            <v>0</v>
          </cell>
          <cell r="BL171">
            <v>0</v>
          </cell>
          <cell r="BM171">
            <v>0</v>
          </cell>
          <cell r="BN171">
            <v>0</v>
          </cell>
          <cell r="BO171">
            <v>0</v>
          </cell>
          <cell r="BP171">
            <v>0</v>
          </cell>
          <cell r="BQ171">
            <v>0</v>
          </cell>
          <cell r="BR171">
            <v>0</v>
          </cell>
          <cell r="BS171">
            <v>0</v>
          </cell>
          <cell r="BT171">
            <v>0</v>
          </cell>
        </row>
        <row r="172">
          <cell r="AZ172">
            <v>0</v>
          </cell>
          <cell r="BA172">
            <v>0</v>
          </cell>
          <cell r="BB172">
            <v>0</v>
          </cell>
          <cell r="BC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row>
        <row r="175">
          <cell r="AZ175">
            <v>0</v>
          </cell>
          <cell r="BA175">
            <v>0</v>
          </cell>
          <cell r="BB175">
            <v>0</v>
          </cell>
          <cell r="BC175">
            <v>0</v>
          </cell>
          <cell r="BE175">
            <v>0</v>
          </cell>
          <cell r="BF175">
            <v>0</v>
          </cell>
          <cell r="BG175">
            <v>0</v>
          </cell>
          <cell r="BH175">
            <v>0</v>
          </cell>
          <cell r="BI175">
            <v>0</v>
          </cell>
          <cell r="BJ175">
            <v>0</v>
          </cell>
          <cell r="BK175">
            <v>0</v>
          </cell>
          <cell r="BL175">
            <v>0</v>
          </cell>
          <cell r="BM175">
            <v>0</v>
          </cell>
          <cell r="BN175">
            <v>0</v>
          </cell>
          <cell r="BO175">
            <v>0</v>
          </cell>
          <cell r="BP175">
            <v>0</v>
          </cell>
          <cell r="BQ175">
            <v>0</v>
          </cell>
          <cell r="BR175">
            <v>0</v>
          </cell>
          <cell r="BS175">
            <v>0</v>
          </cell>
          <cell r="BT175">
            <v>0</v>
          </cell>
        </row>
        <row r="176">
          <cell r="AZ176">
            <v>0</v>
          </cell>
          <cell r="BA176">
            <v>0</v>
          </cell>
          <cell r="BB176">
            <v>0</v>
          </cell>
          <cell r="BC176">
            <v>0</v>
          </cell>
          <cell r="BE176">
            <v>0</v>
          </cell>
          <cell r="BF176">
            <v>0</v>
          </cell>
          <cell r="BG176">
            <v>0</v>
          </cell>
          <cell r="BH176">
            <v>0</v>
          </cell>
          <cell r="BI176">
            <v>0</v>
          </cell>
          <cell r="BJ176">
            <v>0</v>
          </cell>
          <cell r="BK176">
            <v>0</v>
          </cell>
          <cell r="BL176">
            <v>0</v>
          </cell>
          <cell r="BM176">
            <v>0</v>
          </cell>
          <cell r="BN176">
            <v>0</v>
          </cell>
          <cell r="BO176">
            <v>0</v>
          </cell>
          <cell r="BP176">
            <v>0</v>
          </cell>
          <cell r="BQ176">
            <v>0</v>
          </cell>
          <cell r="BR176">
            <v>0</v>
          </cell>
          <cell r="BS176">
            <v>0</v>
          </cell>
          <cell r="BT176">
            <v>0</v>
          </cell>
        </row>
        <row r="177">
          <cell r="C177">
            <v>0</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D177">
            <v>0</v>
          </cell>
          <cell r="AH177">
            <v>0</v>
          </cell>
          <cell r="AL177">
            <v>0</v>
          </cell>
          <cell r="AP177">
            <v>0</v>
          </cell>
          <cell r="AT177">
            <v>0</v>
          </cell>
          <cell r="AX177">
            <v>0</v>
          </cell>
          <cell r="AZ177">
            <v>0</v>
          </cell>
          <cell r="BA177">
            <v>0</v>
          </cell>
          <cell r="BB177">
            <v>0</v>
          </cell>
          <cell r="BC177">
            <v>0</v>
          </cell>
          <cell r="BE177">
            <v>0</v>
          </cell>
          <cell r="BF177">
            <v>0</v>
          </cell>
          <cell r="BG177">
            <v>0</v>
          </cell>
          <cell r="BH177">
            <v>0</v>
          </cell>
          <cell r="BI177">
            <v>0</v>
          </cell>
          <cell r="BJ177">
            <v>0</v>
          </cell>
          <cell r="BK177">
            <v>0</v>
          </cell>
          <cell r="BL177">
            <v>0</v>
          </cell>
          <cell r="BM177">
            <v>0</v>
          </cell>
          <cell r="BN177">
            <v>0</v>
          </cell>
          <cell r="BO177">
            <v>0</v>
          </cell>
          <cell r="BP177">
            <v>0</v>
          </cell>
          <cell r="BQ177">
            <v>0</v>
          </cell>
          <cell r="BR177">
            <v>0</v>
          </cell>
          <cell r="BS177">
            <v>0</v>
          </cell>
          <cell r="BT177">
            <v>0</v>
          </cell>
        </row>
        <row r="178">
          <cell r="AZ178">
            <v>0</v>
          </cell>
          <cell r="BA178">
            <v>0</v>
          </cell>
          <cell r="BB178">
            <v>0</v>
          </cell>
          <cell r="BC178">
            <v>0</v>
          </cell>
          <cell r="BE178">
            <v>0</v>
          </cell>
          <cell r="BF178">
            <v>0</v>
          </cell>
          <cell r="BG178">
            <v>0</v>
          </cell>
          <cell r="BH178">
            <v>0</v>
          </cell>
          <cell r="BI178">
            <v>0</v>
          </cell>
          <cell r="BJ178">
            <v>0</v>
          </cell>
          <cell r="BK178">
            <v>0</v>
          </cell>
          <cell r="BL178">
            <v>0</v>
          </cell>
          <cell r="BM178">
            <v>0</v>
          </cell>
          <cell r="BN178">
            <v>0</v>
          </cell>
          <cell r="BO178">
            <v>0</v>
          </cell>
          <cell r="BP178">
            <v>0</v>
          </cell>
          <cell r="BQ178">
            <v>0</v>
          </cell>
          <cell r="BR178">
            <v>0</v>
          </cell>
          <cell r="BS178">
            <v>0</v>
          </cell>
          <cell r="BT178">
            <v>0</v>
          </cell>
        </row>
        <row r="181">
          <cell r="AZ181">
            <v>0</v>
          </cell>
          <cell r="BA181">
            <v>0</v>
          </cell>
          <cell r="BB181">
            <v>0</v>
          </cell>
          <cell r="BC181">
            <v>0</v>
          </cell>
          <cell r="BE181">
            <v>0</v>
          </cell>
          <cell r="BF181">
            <v>0</v>
          </cell>
          <cell r="BG181">
            <v>0</v>
          </cell>
          <cell r="BH181">
            <v>0</v>
          </cell>
          <cell r="BI181">
            <v>0</v>
          </cell>
          <cell r="BJ181">
            <v>0</v>
          </cell>
          <cell r="BK181">
            <v>0</v>
          </cell>
          <cell r="BL181">
            <v>0</v>
          </cell>
          <cell r="BM181">
            <v>0</v>
          </cell>
          <cell r="BN181">
            <v>0</v>
          </cell>
          <cell r="BO181">
            <v>0</v>
          </cell>
          <cell r="BP181">
            <v>0</v>
          </cell>
          <cell r="BQ181">
            <v>0</v>
          </cell>
          <cell r="BR181">
            <v>0</v>
          </cell>
          <cell r="BS181">
            <v>0</v>
          </cell>
          <cell r="BT181">
            <v>0</v>
          </cell>
        </row>
        <row r="182">
          <cell r="AZ182">
            <v>0</v>
          </cell>
          <cell r="BA182">
            <v>0</v>
          </cell>
          <cell r="BB182">
            <v>0</v>
          </cell>
          <cell r="BC182">
            <v>0</v>
          </cell>
          <cell r="BE182">
            <v>0</v>
          </cell>
          <cell r="BF182">
            <v>0</v>
          </cell>
          <cell r="BG182">
            <v>0</v>
          </cell>
          <cell r="BH182">
            <v>0</v>
          </cell>
          <cell r="BI182">
            <v>0</v>
          </cell>
          <cell r="BJ182">
            <v>0</v>
          </cell>
          <cell r="BK182">
            <v>0</v>
          </cell>
          <cell r="BL182">
            <v>0</v>
          </cell>
          <cell r="BM182">
            <v>0</v>
          </cell>
          <cell r="BN182">
            <v>0</v>
          </cell>
          <cell r="BO182">
            <v>0</v>
          </cell>
          <cell r="BP182">
            <v>0</v>
          </cell>
          <cell r="BQ182">
            <v>0</v>
          </cell>
          <cell r="BR182">
            <v>0</v>
          </cell>
          <cell r="BS182">
            <v>0</v>
          </cell>
          <cell r="BT182">
            <v>0</v>
          </cell>
        </row>
        <row r="183">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D183">
            <v>0</v>
          </cell>
          <cell r="AH183">
            <v>0</v>
          </cell>
          <cell r="AL183">
            <v>0</v>
          </cell>
          <cell r="AP183">
            <v>0</v>
          </cell>
          <cell r="AT183">
            <v>0</v>
          </cell>
          <cell r="AX183">
            <v>0</v>
          </cell>
          <cell r="AZ183">
            <v>0</v>
          </cell>
          <cell r="BA183">
            <v>0</v>
          </cell>
          <cell r="BB183">
            <v>0</v>
          </cell>
          <cell r="BC183">
            <v>0</v>
          </cell>
          <cell r="BE183">
            <v>0</v>
          </cell>
          <cell r="BF183">
            <v>0</v>
          </cell>
          <cell r="BG183">
            <v>0</v>
          </cell>
          <cell r="BH183">
            <v>0</v>
          </cell>
          <cell r="BI183">
            <v>0</v>
          </cell>
          <cell r="BJ183">
            <v>0</v>
          </cell>
          <cell r="BK183">
            <v>0</v>
          </cell>
          <cell r="BL183">
            <v>0</v>
          </cell>
          <cell r="BM183">
            <v>0</v>
          </cell>
          <cell r="BN183">
            <v>0</v>
          </cell>
          <cell r="BO183">
            <v>0</v>
          </cell>
          <cell r="BP183">
            <v>0</v>
          </cell>
          <cell r="BQ183">
            <v>0</v>
          </cell>
          <cell r="BR183">
            <v>0</v>
          </cell>
          <cell r="BS183">
            <v>0</v>
          </cell>
          <cell r="BT183">
            <v>0</v>
          </cell>
        </row>
        <row r="184">
          <cell r="AZ184">
            <v>0</v>
          </cell>
          <cell r="BA184">
            <v>0</v>
          </cell>
          <cell r="BB184">
            <v>0</v>
          </cell>
          <cell r="BC184">
            <v>0</v>
          </cell>
          <cell r="BE184">
            <v>0</v>
          </cell>
          <cell r="BF184">
            <v>0</v>
          </cell>
          <cell r="BG184">
            <v>0</v>
          </cell>
          <cell r="BH184">
            <v>0</v>
          </cell>
          <cell r="BI184">
            <v>0</v>
          </cell>
          <cell r="BJ184">
            <v>0</v>
          </cell>
          <cell r="BK184">
            <v>0</v>
          </cell>
          <cell r="BL184">
            <v>0</v>
          </cell>
          <cell r="BM184">
            <v>0</v>
          </cell>
          <cell r="BN184">
            <v>0</v>
          </cell>
          <cell r="BO184">
            <v>0</v>
          </cell>
          <cell r="BP184">
            <v>0</v>
          </cell>
          <cell r="BQ184">
            <v>0</v>
          </cell>
          <cell r="BR184">
            <v>0</v>
          </cell>
          <cell r="BS184">
            <v>0</v>
          </cell>
          <cell r="BT184">
            <v>0</v>
          </cell>
        </row>
        <row r="187">
          <cell r="AZ187">
            <v>0</v>
          </cell>
          <cell r="BA187">
            <v>0</v>
          </cell>
          <cell r="BB187">
            <v>0</v>
          </cell>
          <cell r="BC187">
            <v>0</v>
          </cell>
          <cell r="BE187">
            <v>0</v>
          </cell>
          <cell r="BF187">
            <v>0</v>
          </cell>
          <cell r="BG187">
            <v>0</v>
          </cell>
          <cell r="BH187">
            <v>0</v>
          </cell>
          <cell r="BI187">
            <v>0</v>
          </cell>
          <cell r="BJ187">
            <v>0</v>
          </cell>
          <cell r="BK187">
            <v>0</v>
          </cell>
          <cell r="BL187">
            <v>0</v>
          </cell>
          <cell r="BM187">
            <v>0</v>
          </cell>
          <cell r="BN187">
            <v>0</v>
          </cell>
          <cell r="BO187">
            <v>0</v>
          </cell>
          <cell r="BP187">
            <v>0</v>
          </cell>
          <cell r="BQ187">
            <v>0</v>
          </cell>
          <cell r="BR187">
            <v>0</v>
          </cell>
          <cell r="BS187">
            <v>0</v>
          </cell>
          <cell r="BT187">
            <v>0</v>
          </cell>
        </row>
        <row r="188">
          <cell r="AZ188">
            <v>0</v>
          </cell>
          <cell r="BA188">
            <v>0</v>
          </cell>
          <cell r="BB188">
            <v>0</v>
          </cell>
          <cell r="BC188">
            <v>0</v>
          </cell>
          <cell r="BE188">
            <v>0</v>
          </cell>
          <cell r="BF188">
            <v>0</v>
          </cell>
          <cell r="BG188">
            <v>0</v>
          </cell>
          <cell r="BH188">
            <v>0</v>
          </cell>
          <cell r="BI188">
            <v>0</v>
          </cell>
          <cell r="BJ188">
            <v>0</v>
          </cell>
          <cell r="BK188">
            <v>0</v>
          </cell>
          <cell r="BL188">
            <v>0</v>
          </cell>
          <cell r="BM188">
            <v>0</v>
          </cell>
          <cell r="BN188">
            <v>0</v>
          </cell>
          <cell r="BO188">
            <v>0</v>
          </cell>
          <cell r="BP188">
            <v>0</v>
          </cell>
          <cell r="BQ188">
            <v>0</v>
          </cell>
          <cell r="BR188">
            <v>0</v>
          </cell>
          <cell r="BS188">
            <v>0</v>
          </cell>
          <cell r="BT188">
            <v>0</v>
          </cell>
        </row>
        <row r="189">
          <cell r="C189">
            <v>0</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D189">
            <v>0</v>
          </cell>
          <cell r="AH189">
            <v>0</v>
          </cell>
          <cell r="AL189">
            <v>0</v>
          </cell>
          <cell r="AP189">
            <v>0</v>
          </cell>
          <cell r="AT189">
            <v>0</v>
          </cell>
          <cell r="AX189">
            <v>0</v>
          </cell>
          <cell r="AZ189">
            <v>0</v>
          </cell>
          <cell r="BA189">
            <v>0</v>
          </cell>
          <cell r="BB189">
            <v>0</v>
          </cell>
          <cell r="BC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row>
        <row r="190">
          <cell r="AZ190">
            <v>0</v>
          </cell>
          <cell r="BA190">
            <v>0</v>
          </cell>
          <cell r="BB190">
            <v>0</v>
          </cell>
          <cell r="BC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row>
        <row r="193">
          <cell r="AZ193">
            <v>0</v>
          </cell>
          <cell r="BA193">
            <v>0</v>
          </cell>
          <cell r="BB193">
            <v>0</v>
          </cell>
          <cell r="BC193">
            <v>0</v>
          </cell>
          <cell r="BE193">
            <v>0</v>
          </cell>
          <cell r="BF193">
            <v>0</v>
          </cell>
          <cell r="BG193">
            <v>0</v>
          </cell>
          <cell r="BH193">
            <v>0</v>
          </cell>
          <cell r="BI193">
            <v>0</v>
          </cell>
          <cell r="BJ193">
            <v>0</v>
          </cell>
          <cell r="BK193">
            <v>0</v>
          </cell>
          <cell r="BL193">
            <v>0</v>
          </cell>
          <cell r="BM193">
            <v>0</v>
          </cell>
          <cell r="BN193">
            <v>0</v>
          </cell>
          <cell r="BO193">
            <v>0</v>
          </cell>
          <cell r="BP193">
            <v>0</v>
          </cell>
          <cell r="BQ193">
            <v>0</v>
          </cell>
          <cell r="BR193">
            <v>0</v>
          </cell>
          <cell r="BS193">
            <v>0</v>
          </cell>
          <cell r="BT193">
            <v>0</v>
          </cell>
        </row>
        <row r="194">
          <cell r="AZ194">
            <v>0</v>
          </cell>
          <cell r="BA194">
            <v>0</v>
          </cell>
          <cell r="BB194">
            <v>0</v>
          </cell>
          <cell r="BC194">
            <v>0</v>
          </cell>
          <cell r="BE194">
            <v>0</v>
          </cell>
          <cell r="BF194">
            <v>0</v>
          </cell>
          <cell r="BG194">
            <v>0</v>
          </cell>
          <cell r="BH194">
            <v>0</v>
          </cell>
          <cell r="BI194">
            <v>0</v>
          </cell>
          <cell r="BJ194">
            <v>0</v>
          </cell>
          <cell r="BK194">
            <v>0</v>
          </cell>
          <cell r="BL194">
            <v>0</v>
          </cell>
          <cell r="BM194">
            <v>0</v>
          </cell>
          <cell r="BN194">
            <v>0</v>
          </cell>
          <cell r="BO194">
            <v>0</v>
          </cell>
          <cell r="BP194">
            <v>0</v>
          </cell>
          <cell r="BQ194">
            <v>0</v>
          </cell>
          <cell r="BR194">
            <v>0</v>
          </cell>
          <cell r="BS194">
            <v>0</v>
          </cell>
          <cell r="BT194">
            <v>0</v>
          </cell>
        </row>
        <row r="195">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D195">
            <v>0</v>
          </cell>
          <cell r="AH195">
            <v>0</v>
          </cell>
          <cell r="AL195">
            <v>0</v>
          </cell>
          <cell r="AP195">
            <v>0</v>
          </cell>
          <cell r="AT195">
            <v>0</v>
          </cell>
          <cell r="AX195">
            <v>0</v>
          </cell>
          <cell r="AZ195">
            <v>0</v>
          </cell>
          <cell r="BA195">
            <v>0</v>
          </cell>
          <cell r="BB195">
            <v>0</v>
          </cell>
          <cell r="BC195">
            <v>0</v>
          </cell>
          <cell r="BE195">
            <v>0</v>
          </cell>
          <cell r="BF195">
            <v>0</v>
          </cell>
          <cell r="BG195">
            <v>0</v>
          </cell>
          <cell r="BH195">
            <v>0</v>
          </cell>
          <cell r="BI195">
            <v>0</v>
          </cell>
          <cell r="BJ195">
            <v>0</v>
          </cell>
          <cell r="BK195">
            <v>0</v>
          </cell>
          <cell r="BL195">
            <v>0</v>
          </cell>
          <cell r="BM195">
            <v>0</v>
          </cell>
          <cell r="BN195">
            <v>0</v>
          </cell>
          <cell r="BO195">
            <v>0</v>
          </cell>
          <cell r="BP195">
            <v>0</v>
          </cell>
          <cell r="BQ195">
            <v>0</v>
          </cell>
          <cell r="BR195">
            <v>0</v>
          </cell>
          <cell r="BS195">
            <v>0</v>
          </cell>
          <cell r="BT195">
            <v>0</v>
          </cell>
        </row>
        <row r="196">
          <cell r="AZ196">
            <v>0</v>
          </cell>
          <cell r="BA196">
            <v>0</v>
          </cell>
          <cell r="BB196">
            <v>0</v>
          </cell>
          <cell r="BC196">
            <v>0</v>
          </cell>
          <cell r="BE196">
            <v>0</v>
          </cell>
          <cell r="BF196">
            <v>0</v>
          </cell>
          <cell r="BG196">
            <v>0</v>
          </cell>
          <cell r="BH196">
            <v>0</v>
          </cell>
          <cell r="BI196">
            <v>0</v>
          </cell>
          <cell r="BJ196">
            <v>0</v>
          </cell>
          <cell r="BK196">
            <v>0</v>
          </cell>
          <cell r="BL196">
            <v>0</v>
          </cell>
          <cell r="BM196">
            <v>0</v>
          </cell>
          <cell r="BN196">
            <v>0</v>
          </cell>
          <cell r="BO196">
            <v>0</v>
          </cell>
          <cell r="BP196">
            <v>0</v>
          </cell>
          <cell r="BQ196">
            <v>0</v>
          </cell>
          <cell r="BR196">
            <v>0</v>
          </cell>
          <cell r="BS196">
            <v>0</v>
          </cell>
          <cell r="BT196">
            <v>0</v>
          </cell>
        </row>
        <row r="199">
          <cell r="AZ199">
            <v>0</v>
          </cell>
          <cell r="BA199">
            <v>0</v>
          </cell>
          <cell r="BB199">
            <v>0</v>
          </cell>
          <cell r="BC199">
            <v>0</v>
          </cell>
          <cell r="BE199">
            <v>0</v>
          </cell>
          <cell r="BF199">
            <v>0</v>
          </cell>
          <cell r="BG199">
            <v>0</v>
          </cell>
          <cell r="BH199">
            <v>0</v>
          </cell>
          <cell r="BI199">
            <v>0</v>
          </cell>
          <cell r="BJ199">
            <v>0</v>
          </cell>
          <cell r="BK199">
            <v>0</v>
          </cell>
          <cell r="BL199">
            <v>0</v>
          </cell>
          <cell r="BM199">
            <v>0</v>
          </cell>
          <cell r="BN199">
            <v>0</v>
          </cell>
          <cell r="BO199">
            <v>0</v>
          </cell>
          <cell r="BP199">
            <v>0</v>
          </cell>
          <cell r="BQ199">
            <v>0</v>
          </cell>
          <cell r="BR199">
            <v>0</v>
          </cell>
          <cell r="BS199">
            <v>0</v>
          </cell>
          <cell r="BT199">
            <v>0</v>
          </cell>
        </row>
        <row r="200">
          <cell r="AZ200">
            <v>0</v>
          </cell>
          <cell r="BA200">
            <v>0</v>
          </cell>
          <cell r="BB200">
            <v>0</v>
          </cell>
          <cell r="BC200">
            <v>0</v>
          </cell>
          <cell r="BE200">
            <v>0</v>
          </cell>
          <cell r="BF200">
            <v>0</v>
          </cell>
          <cell r="BG200">
            <v>0</v>
          </cell>
          <cell r="BH200">
            <v>0</v>
          </cell>
          <cell r="BI200">
            <v>0</v>
          </cell>
          <cell r="BJ200">
            <v>0</v>
          </cell>
          <cell r="BK200">
            <v>0</v>
          </cell>
          <cell r="BL200">
            <v>0</v>
          </cell>
          <cell r="BM200">
            <v>0</v>
          </cell>
          <cell r="BN200">
            <v>0</v>
          </cell>
          <cell r="BO200">
            <v>0</v>
          </cell>
          <cell r="BP200">
            <v>0</v>
          </cell>
          <cell r="BQ200">
            <v>0</v>
          </cell>
          <cell r="BR200">
            <v>0</v>
          </cell>
          <cell r="BS200">
            <v>0</v>
          </cell>
          <cell r="BT200">
            <v>0</v>
          </cell>
        </row>
        <row r="201">
          <cell r="AZ201">
            <v>0</v>
          </cell>
          <cell r="BA201">
            <v>0</v>
          </cell>
          <cell r="BB201">
            <v>0</v>
          </cell>
          <cell r="BC201">
            <v>0</v>
          </cell>
          <cell r="BE201">
            <v>0</v>
          </cell>
          <cell r="BF201">
            <v>0</v>
          </cell>
          <cell r="BG201">
            <v>0</v>
          </cell>
          <cell r="BH201">
            <v>0</v>
          </cell>
          <cell r="BI201">
            <v>0</v>
          </cell>
          <cell r="BJ201">
            <v>0</v>
          </cell>
          <cell r="BK201">
            <v>0</v>
          </cell>
          <cell r="BL201">
            <v>0</v>
          </cell>
          <cell r="BM201">
            <v>0</v>
          </cell>
          <cell r="BN201">
            <v>0</v>
          </cell>
          <cell r="BO201">
            <v>0</v>
          </cell>
          <cell r="BP201">
            <v>0</v>
          </cell>
          <cell r="BQ201">
            <v>0</v>
          </cell>
          <cell r="BR201">
            <v>0</v>
          </cell>
          <cell r="BS201">
            <v>0</v>
          </cell>
          <cell r="BT201">
            <v>0</v>
          </cell>
        </row>
        <row r="202">
          <cell r="AZ202">
            <v>0</v>
          </cell>
          <cell r="BA202">
            <v>0</v>
          </cell>
          <cell r="BB202">
            <v>0</v>
          </cell>
          <cell r="BC202">
            <v>0</v>
          </cell>
          <cell r="BE202">
            <v>0</v>
          </cell>
          <cell r="BF202">
            <v>0</v>
          </cell>
          <cell r="BG202">
            <v>0</v>
          </cell>
          <cell r="BH202">
            <v>0</v>
          </cell>
          <cell r="BI202">
            <v>0</v>
          </cell>
          <cell r="BJ202">
            <v>0</v>
          </cell>
          <cell r="BK202">
            <v>0</v>
          </cell>
          <cell r="BL202">
            <v>0</v>
          </cell>
          <cell r="BM202">
            <v>0</v>
          </cell>
          <cell r="BN202">
            <v>0</v>
          </cell>
          <cell r="BO202">
            <v>0</v>
          </cell>
          <cell r="BP202">
            <v>0</v>
          </cell>
          <cell r="BQ202">
            <v>0</v>
          </cell>
          <cell r="BR202">
            <v>0</v>
          </cell>
          <cell r="BS202">
            <v>0</v>
          </cell>
          <cell r="BT202">
            <v>0</v>
          </cell>
        </row>
        <row r="206">
          <cell r="C206">
            <v>109146.899989</v>
          </cell>
          <cell r="D206">
            <v>104870.880000002</v>
          </cell>
          <cell r="E206">
            <v>104312.406385365</v>
          </cell>
          <cell r="F206">
            <v>101957.236665</v>
          </cell>
          <cell r="G206">
            <v>96605.371299999999</v>
          </cell>
          <cell r="H206">
            <v>91339.10333331833</v>
          </cell>
          <cell r="I206">
            <v>90512.029567743331</v>
          </cell>
          <cell r="J206">
            <v>91045.686666669004</v>
          </cell>
          <cell r="K206">
            <v>101678.44326100001</v>
          </cell>
          <cell r="L206">
            <v>97085.423333347338</v>
          </cell>
          <cell r="M206">
            <v>96324.300000005664</v>
          </cell>
          <cell r="N206">
            <v>92320.316666662664</v>
          </cell>
          <cell r="O206">
            <v>96514.416666684687</v>
          </cell>
          <cell r="P206">
            <v>92073.806666824661</v>
          </cell>
          <cell r="Q206">
            <v>90186.789999993664</v>
          </cell>
          <cell r="R206">
            <v>86566.293333334324</v>
          </cell>
          <cell r="S206">
            <v>96244.753333328335</v>
          </cell>
          <cell r="T206">
            <v>93801.879999999015</v>
          </cell>
          <cell r="U206">
            <v>92530.429999983957</v>
          </cell>
          <cell r="V206">
            <v>88212.653333342663</v>
          </cell>
          <cell r="W206">
            <v>94129.226666657662</v>
          </cell>
          <cell r="X206">
            <v>90627.713333338324</v>
          </cell>
          <cell r="Y206">
            <v>89784.184074067656</v>
          </cell>
          <cell r="Z206">
            <v>86379.549999993673</v>
          </cell>
          <cell r="AD206">
            <v>0</v>
          </cell>
          <cell r="AH206">
            <v>0</v>
          </cell>
          <cell r="AL206">
            <v>0</v>
          </cell>
          <cell r="AP206">
            <v>0</v>
          </cell>
          <cell r="AT206">
            <v>0</v>
          </cell>
          <cell r="AX206">
            <v>0</v>
          </cell>
          <cell r="AZ206">
            <v>594319.11121667072</v>
          </cell>
          <cell r="BA206">
            <v>569798.80666682962</v>
          </cell>
          <cell r="BB206">
            <v>563650.14002715924</v>
          </cell>
          <cell r="BC206">
            <v>546481.7366650023</v>
          </cell>
          <cell r="BE206">
            <v>307430.71455000003</v>
          </cell>
          <cell r="BF206">
            <v>293295.40666666767</v>
          </cell>
          <cell r="BG206">
            <v>291148.735953114</v>
          </cell>
          <cell r="BH206">
            <v>285323.23999833164</v>
          </cell>
          <cell r="BI206">
            <v>286888.39666667068</v>
          </cell>
          <cell r="BJ206">
            <v>276503.40000016202</v>
          </cell>
          <cell r="BK206">
            <v>272501.40407404525</v>
          </cell>
          <cell r="BL206">
            <v>261158.49666667066</v>
          </cell>
          <cell r="BM206">
            <v>0</v>
          </cell>
          <cell r="BN206">
            <v>0</v>
          </cell>
          <cell r="BO206">
            <v>0</v>
          </cell>
          <cell r="BP206">
            <v>0</v>
          </cell>
          <cell r="BQ206">
            <v>0</v>
          </cell>
          <cell r="BR206">
            <v>0</v>
          </cell>
          <cell r="BS206">
            <v>0</v>
          </cell>
          <cell r="BT206">
            <v>0</v>
          </cell>
        </row>
        <row r="209">
          <cell r="C209">
            <v>116816.74281</v>
          </cell>
          <cell r="D209">
            <v>109842.33911627579</v>
          </cell>
          <cell r="E209">
            <v>109788.09190312984</v>
          </cell>
          <cell r="F209">
            <v>109347.26296754199</v>
          </cell>
          <cell r="G209">
            <v>103971.19093899999</v>
          </cell>
          <cell r="H209">
            <v>96379.453734559938</v>
          </cell>
          <cell r="I209">
            <v>95803.647225590423</v>
          </cell>
          <cell r="J209">
            <v>98306.208258652434</v>
          </cell>
          <cell r="K209">
            <v>110733.8416</v>
          </cell>
          <cell r="L209">
            <v>102902.3110702039</v>
          </cell>
          <cell r="M209">
            <v>101267.86188457873</v>
          </cell>
          <cell r="N209">
            <v>99189.960021254548</v>
          </cell>
          <cell r="O209">
            <v>103878.29882072745</v>
          </cell>
          <cell r="P209">
            <v>97170.630090857361</v>
          </cell>
          <cell r="Q209">
            <v>95938.805457925002</v>
          </cell>
          <cell r="R209">
            <v>93912.945603512751</v>
          </cell>
          <cell r="S209">
            <v>103407.43108034003</v>
          </cell>
          <cell r="T209">
            <v>99538.708163172443</v>
          </cell>
          <cell r="U209">
            <v>99936.681124061084</v>
          </cell>
          <cell r="V209">
            <v>94563.519693819369</v>
          </cell>
          <cell r="W209">
            <v>100945.35139500001</v>
          </cell>
          <cell r="X209">
            <v>95543.220939116029</v>
          </cell>
          <cell r="Y209">
            <v>96469.181239716389</v>
          </cell>
          <cell r="Z209">
            <v>91573.360733170237</v>
          </cell>
          <cell r="AD209">
            <v>0</v>
          </cell>
          <cell r="AH209">
            <v>0</v>
          </cell>
          <cell r="AL209">
            <v>0</v>
          </cell>
          <cell r="AP209">
            <v>0</v>
          </cell>
          <cell r="AT209">
            <v>0</v>
          </cell>
          <cell r="AX209">
            <v>0</v>
          </cell>
          <cell r="AZ209">
            <v>639752.85664506746</v>
          </cell>
          <cell r="BA209">
            <v>601376.66311418545</v>
          </cell>
          <cell r="BB209">
            <v>599204.26883500139</v>
          </cell>
          <cell r="BC209">
            <v>586893.25727795134</v>
          </cell>
          <cell r="BE209">
            <v>331521.775349</v>
          </cell>
          <cell r="BF209">
            <v>309124.10392103961</v>
          </cell>
          <cell r="BG209">
            <v>306859.60101329896</v>
          </cell>
          <cell r="BH209">
            <v>306843.43124744896</v>
          </cell>
          <cell r="BI209">
            <v>308231.08129606745</v>
          </cell>
          <cell r="BJ209">
            <v>292252.55919314583</v>
          </cell>
          <cell r="BK209">
            <v>292344.66782170243</v>
          </cell>
          <cell r="BL209">
            <v>280049.82603050233</v>
          </cell>
          <cell r="BM209">
            <v>0</v>
          </cell>
          <cell r="BN209">
            <v>0</v>
          </cell>
          <cell r="BO209">
            <v>0</v>
          </cell>
          <cell r="BP209">
            <v>0</v>
          </cell>
          <cell r="BQ209">
            <v>0</v>
          </cell>
          <cell r="BR209">
            <v>0</v>
          </cell>
          <cell r="BS209">
            <v>0</v>
          </cell>
          <cell r="BT209">
            <v>0</v>
          </cell>
        </row>
        <row r="210">
          <cell r="C210">
            <v>3.665338840652443</v>
          </cell>
          <cell r="D210">
            <v>3.4667754535607433</v>
          </cell>
          <cell r="E210">
            <v>2.4858837485938183</v>
          </cell>
          <cell r="F210">
            <v>1.5316877727132954</v>
          </cell>
          <cell r="G210">
            <v>3.8376518035086931</v>
          </cell>
          <cell r="H210">
            <v>3.4164516934995617</v>
          </cell>
          <cell r="I210">
            <v>2.3994273639259283</v>
          </cell>
          <cell r="J210">
            <v>1.4438874072792911</v>
          </cell>
          <cell r="K210">
            <v>3.7746054284817663</v>
          </cell>
          <cell r="L210">
            <v>3.5967104566533679</v>
          </cell>
          <cell r="M210">
            <v>2.3824943998195649</v>
          </cell>
          <cell r="N210">
            <v>1.5324537853018327</v>
          </cell>
          <cell r="O210">
            <v>3.5384449761190844</v>
          </cell>
          <cell r="P210">
            <v>3.5828255021550643</v>
          </cell>
          <cell r="Q210">
            <v>2.2476359273324316</v>
          </cell>
          <cell r="R210">
            <v>1.5366414676205316</v>
          </cell>
          <cell r="S210">
            <v>3.3105212194473013</v>
          </cell>
          <cell r="T210">
            <v>3.4959034831913325</v>
          </cell>
          <cell r="U210">
            <v>2.3281530861231703</v>
          </cell>
          <cell r="V210">
            <v>1.6145332094927389</v>
          </cell>
          <cell r="W210">
            <v>3.1472093420810658</v>
          </cell>
          <cell r="X210">
            <v>3.464162312163539</v>
          </cell>
          <cell r="Y210">
            <v>2.3496498952030538</v>
          </cell>
          <cell r="Z210">
            <v>1.8675431382975241</v>
          </cell>
          <cell r="AD210" t="e">
            <v>#DIV/0!</v>
          </cell>
          <cell r="AH210" t="e">
            <v>#DIV/0!</v>
          </cell>
          <cell r="AL210" t="e">
            <v>#DIV/0!</v>
          </cell>
          <cell r="AP210" t="e">
            <v>#DIV/0!</v>
          </cell>
          <cell r="AT210" t="e">
            <v>#DIV/0!</v>
          </cell>
          <cell r="AX210" t="e">
            <v>#DIV/0!</v>
          </cell>
          <cell r="AZ210">
            <v>3.5525453328939398</v>
          </cell>
          <cell r="BA210">
            <v>3.504101129494416</v>
          </cell>
          <cell r="BB210">
            <v>2.368201820203097</v>
          </cell>
          <cell r="BC210">
            <v>1.5836553768557609</v>
          </cell>
          <cell r="BE210">
            <v>3.7558761604398363</v>
          </cell>
          <cell r="BF210">
            <v>3.4943386085994583</v>
          </cell>
          <cell r="BG210">
            <v>2.4247715813120871</v>
          </cell>
          <cell r="BH210">
            <v>1.5038059952976046</v>
          </cell>
          <cell r="BI210">
            <v>3.3338503309241401</v>
          </cell>
          <cell r="BJ210">
            <v>3.514427234189601</v>
          </cell>
          <cell r="BK210">
            <v>2.3088233665009432</v>
          </cell>
          <cell r="BL210">
            <v>1.6711443018359282</v>
          </cell>
          <cell r="BM210" t="e">
            <v>#DIV/0!</v>
          </cell>
          <cell r="BN210" t="e">
            <v>#DIV/0!</v>
          </cell>
          <cell r="BO210" t="e">
            <v>#DIV/0!</v>
          </cell>
          <cell r="BP210" t="e">
            <v>#DIV/0!</v>
          </cell>
          <cell r="BQ210" t="e">
            <v>#DIV/0!</v>
          </cell>
          <cell r="BR210" t="e">
            <v>#DIV/0!</v>
          </cell>
          <cell r="BS210" t="e">
            <v>#DIV/0!</v>
          </cell>
          <cell r="BT210" t="e">
            <v>#DIV/0!</v>
          </cell>
        </row>
        <row r="211">
          <cell r="C211">
            <v>1070.2708260314585</v>
          </cell>
          <cell r="D211">
            <v>1047.4055249300254</v>
          </cell>
          <cell r="E211">
            <v>1052.4931377532967</v>
          </cell>
          <cell r="F211">
            <v>1072.4816260646935</v>
          </cell>
          <cell r="G211">
            <v>1076.2464813278968</v>
          </cell>
          <cell r="H211">
            <v>1055.1828320762922</v>
          </cell>
          <cell r="I211">
            <v>1058.4631422267091</v>
          </cell>
          <cell r="J211">
            <v>1079.7459150213806</v>
          </cell>
          <cell r="K211">
            <v>1089.0591756578683</v>
          </cell>
          <cell r="L211">
            <v>1059.9151503607704</v>
          </cell>
          <cell r="M211">
            <v>1051.3220639503509</v>
          </cell>
          <cell r="N211">
            <v>1074.4109596092032</v>
          </cell>
          <cell r="O211">
            <v>1076.2982610097945</v>
          </cell>
          <cell r="P211">
            <v>1055.3558455824023</v>
          </cell>
          <cell r="Q211">
            <v>1063.7789132746796</v>
          </cell>
          <cell r="R211">
            <v>1084.8673541084777</v>
          </cell>
          <cell r="S211">
            <v>1074.4214879143065</v>
          </cell>
          <cell r="T211">
            <v>1061.1589891713629</v>
          </cell>
          <cell r="U211">
            <v>1080.0412483123489</v>
          </cell>
          <cell r="V211">
            <v>1071.9949590052315</v>
          </cell>
          <cell r="W211">
            <v>1072.4124160977171</v>
          </cell>
          <cell r="X211">
            <v>1054.2384600138585</v>
          </cell>
          <cell r="Y211">
            <v>1074.4562890957936</v>
          </cell>
          <cell r="Z211">
            <v>1060.1277817860471</v>
          </cell>
          <cell r="AD211" t="e">
            <v>#DIV/0!</v>
          </cell>
          <cell r="AH211" t="e">
            <v>#DIV/0!</v>
          </cell>
          <cell r="AL211" t="e">
            <v>#DIV/0!</v>
          </cell>
          <cell r="AP211" t="e">
            <v>#DIV/0!</v>
          </cell>
          <cell r="AT211" t="e">
            <v>#DIV/0!</v>
          </cell>
          <cell r="AX211" t="e">
            <v>#DIV/0!</v>
          </cell>
          <cell r="AZ211">
            <v>1076.446717884246</v>
          </cell>
          <cell r="BA211">
            <v>1055.4193095490632</v>
          </cell>
          <cell r="BB211">
            <v>1063.07836418905</v>
          </cell>
          <cell r="BC211">
            <v>1073.9485291120016</v>
          </cell>
          <cell r="BE211">
            <v>1078.362569707009</v>
          </cell>
          <cell r="BF211">
            <v>1053.9684457873607</v>
          </cell>
          <cell r="BG211">
            <v>1053.9616461282353</v>
          </cell>
          <cell r="BH211">
            <v>1075.4238990460194</v>
          </cell>
          <cell r="BI211">
            <v>1074.3936836671521</v>
          </cell>
          <cell r="BJ211">
            <v>1056.9582840318585</v>
          </cell>
          <cell r="BK211">
            <v>1072.8189413008135</v>
          </cell>
          <cell r="BL211">
            <v>1072.3366446236807</v>
          </cell>
          <cell r="BM211" t="e">
            <v>#DIV/0!</v>
          </cell>
          <cell r="BN211" t="e">
            <v>#DIV/0!</v>
          </cell>
          <cell r="BO211" t="e">
            <v>#DIV/0!</v>
          </cell>
          <cell r="BP211" t="e">
            <v>#DIV/0!</v>
          </cell>
          <cell r="BQ211" t="e">
            <v>#DIV/0!</v>
          </cell>
          <cell r="BR211" t="e">
            <v>#DIV/0!</v>
          </cell>
          <cell r="BS211" t="e">
            <v>#DIV/0!</v>
          </cell>
          <cell r="BT211" t="e">
            <v>#DIV/0!</v>
          </cell>
        </row>
        <row r="214">
          <cell r="C214">
            <v>65109.742809999996</v>
          </cell>
          <cell r="D214">
            <v>-6974.4036937242054</v>
          </cell>
          <cell r="E214">
            <v>-54.247213145950809</v>
          </cell>
          <cell r="F214">
            <v>-440.82893558785145</v>
          </cell>
          <cell r="G214">
            <v>55570.190938999993</v>
          </cell>
          <cell r="H214">
            <v>-7591.7372044400545</v>
          </cell>
          <cell r="I214">
            <v>-575.80650896951556</v>
          </cell>
          <cell r="J214">
            <v>2502.5610330620111</v>
          </cell>
          <cell r="K214">
            <v>61329.8416</v>
          </cell>
          <cell r="L214">
            <v>-7831.5305297961022</v>
          </cell>
          <cell r="M214">
            <v>-1634.4491856251698</v>
          </cell>
          <cell r="N214">
            <v>-2077.9018633241794</v>
          </cell>
          <cell r="O214">
            <v>57115.298820727447</v>
          </cell>
          <cell r="P214">
            <v>-6707.6687298700854</v>
          </cell>
          <cell r="Q214">
            <v>-1231.8246329323592</v>
          </cell>
          <cell r="R214">
            <v>-2025.8598544122506</v>
          </cell>
          <cell r="S214">
            <v>56335.431080340029</v>
          </cell>
          <cell r="T214">
            <v>-3868.7229171675863</v>
          </cell>
          <cell r="U214">
            <v>397.97296088864096</v>
          </cell>
          <cell r="V214">
            <v>-5373.1614302417147</v>
          </cell>
          <cell r="W214">
            <v>54396.351395000005</v>
          </cell>
          <cell r="X214">
            <v>-5402.1304558839765</v>
          </cell>
          <cell r="Y214">
            <v>925.96030060035991</v>
          </cell>
          <cell r="Z214">
            <v>-4895.8205065461516</v>
          </cell>
          <cell r="AD214">
            <v>0</v>
          </cell>
          <cell r="AH214">
            <v>0</v>
          </cell>
          <cell r="AL214">
            <v>0</v>
          </cell>
          <cell r="AP214">
            <v>0</v>
          </cell>
          <cell r="AT214">
            <v>0</v>
          </cell>
          <cell r="AX214">
            <v>0</v>
          </cell>
          <cell r="BA214">
            <v>-38376.19353088201</v>
          </cell>
          <cell r="BB214">
            <v>-2172.3942791840527</v>
          </cell>
          <cell r="BC214">
            <v>-12311.011557050049</v>
          </cell>
          <cell r="BE214">
            <v>331521.775349</v>
          </cell>
          <cell r="BF214">
            <v>-22397.671427960391</v>
          </cell>
          <cell r="BG214">
            <v>-2264.5029077406507</v>
          </cell>
          <cell r="BH214">
            <v>-16.169765850005206</v>
          </cell>
          <cell r="BI214">
            <v>308231.08129606745</v>
          </cell>
          <cell r="BJ214">
            <v>-15978.522102921619</v>
          </cell>
          <cell r="BK214">
            <v>92.108628556597978</v>
          </cell>
          <cell r="BL214">
            <v>-12294.841791200102</v>
          </cell>
          <cell r="BM214">
            <v>0</v>
          </cell>
          <cell r="BN214">
            <v>0</v>
          </cell>
          <cell r="BO214">
            <v>0</v>
          </cell>
          <cell r="BP214">
            <v>0</v>
          </cell>
          <cell r="BQ214">
            <v>0</v>
          </cell>
          <cell r="BR214">
            <v>0</v>
          </cell>
          <cell r="BS214">
            <v>0</v>
          </cell>
          <cell r="BT214">
            <v>0</v>
          </cell>
        </row>
        <row r="215">
          <cell r="C215">
            <v>0.43757967670945641</v>
          </cell>
          <cell r="D215">
            <v>-0.19856338709169963</v>
          </cell>
          <cell r="E215">
            <v>-0.98089170496692502</v>
          </cell>
          <cell r="F215">
            <v>-0.95419597588052296</v>
          </cell>
          <cell r="G215">
            <v>0.50746098472395751</v>
          </cell>
          <cell r="H215">
            <v>-0.42120011000913138</v>
          </cell>
          <cell r="I215">
            <v>-1.0170243295736334</v>
          </cell>
          <cell r="J215">
            <v>-0.95553995664663716</v>
          </cell>
          <cell r="K215">
            <v>0.42086974189768345</v>
          </cell>
          <cell r="L215">
            <v>-0.17789497182839842</v>
          </cell>
          <cell r="M215">
            <v>-1.214216056833803</v>
          </cell>
          <cell r="N215">
            <v>-0.85004061451773216</v>
          </cell>
          <cell r="O215">
            <v>7.9009617181462932E-2</v>
          </cell>
          <cell r="P215">
            <v>4.4380526035979972E-2</v>
          </cell>
          <cell r="Q215">
            <v>-1.3351895748226328</v>
          </cell>
          <cell r="R215">
            <v>-0.71099445971190001</v>
          </cell>
          <cell r="S215">
            <v>-0.1272495068868249</v>
          </cell>
          <cell r="T215">
            <v>0.18538226374403122</v>
          </cell>
          <cell r="U215">
            <v>-1.1677503970681622</v>
          </cell>
          <cell r="V215">
            <v>-0.71361987663043136</v>
          </cell>
          <cell r="W215">
            <v>-1.2442746457697167</v>
          </cell>
          <cell r="X215">
            <v>0.31695297008247314</v>
          </cell>
          <cell r="Y215">
            <v>-1.1145124169604852</v>
          </cell>
          <cell r="Z215">
            <v>-0.48210675690552973</v>
          </cell>
          <cell r="AD215" t="e">
            <v>#DIV/0!</v>
          </cell>
          <cell r="AH215" t="e">
            <v>#DIV/0!</v>
          </cell>
          <cell r="AL215" t="e">
            <v>#DIV/0!</v>
          </cell>
          <cell r="AP215" t="e">
            <v>#DIV/0!</v>
          </cell>
          <cell r="AT215" t="e">
            <v>#DIV/0!</v>
          </cell>
          <cell r="AX215" t="e">
            <v>#DIV/0!</v>
          </cell>
          <cell r="BA215">
            <v>-4.8444203399523822E-2</v>
          </cell>
          <cell r="BB215">
            <v>-1.135899309291319</v>
          </cell>
          <cell r="BC215">
            <v>-0.78454644334733614</v>
          </cell>
          <cell r="BF215">
            <v>-0.26153755184037797</v>
          </cell>
          <cell r="BG215">
            <v>-1.0695670272873712</v>
          </cell>
          <cell r="BH215">
            <v>-0.92096558601448253</v>
          </cell>
          <cell r="BJ215">
            <v>0.18057690326546094</v>
          </cell>
          <cell r="BK215">
            <v>-1.2056038676886578</v>
          </cell>
          <cell r="BL215">
            <v>-0.63767906466501501</v>
          </cell>
          <cell r="BN215" t="e">
            <v>#DIV/0!</v>
          </cell>
          <cell r="BO215" t="e">
            <v>#DIV/0!</v>
          </cell>
          <cell r="BP215" t="e">
            <v>#DIV/0!</v>
          </cell>
          <cell r="BR215" t="e">
            <v>#DIV/0!</v>
          </cell>
          <cell r="BS215" t="e">
            <v>#DIV/0!</v>
          </cell>
          <cell r="BT215" t="e">
            <v>#DIV/0!</v>
          </cell>
        </row>
        <row r="217">
          <cell r="C217">
            <v>428172.94465999998</v>
          </cell>
          <cell r="D217">
            <v>380798.72500999999</v>
          </cell>
          <cell r="E217">
            <v>272920.43345111504</v>
          </cell>
          <cell r="F217">
            <v>167485.86566704939</v>
          </cell>
          <cell r="G217">
            <v>399005.22842</v>
          </cell>
          <cell r="H217">
            <v>329275.74792999995</v>
          </cell>
          <cell r="I217">
            <v>229873.89271698799</v>
          </cell>
          <cell r="J217">
            <v>141943.09616204369</v>
          </cell>
          <cell r="K217">
            <v>417976.55962000001</v>
          </cell>
          <cell r="L217">
            <v>370109.81823999999</v>
          </cell>
          <cell r="M217">
            <v>241270.11382170999</v>
          </cell>
          <cell r="N217">
            <v>152004.029698509</v>
          </cell>
          <cell r="O217">
            <v>367567.64459000004</v>
          </cell>
          <cell r="P217">
            <v>348145.41155000002</v>
          </cell>
          <cell r="Q217">
            <v>215635.50597258899</v>
          </cell>
          <cell r="R217">
            <v>144310.52656074899</v>
          </cell>
          <cell r="S217">
            <v>342332.49484000006</v>
          </cell>
          <cell r="T217">
            <v>347977.71658000007</v>
          </cell>
          <cell r="U217">
            <v>232667.89257589</v>
          </cell>
          <cell r="V217">
            <v>152675.94295219201</v>
          </cell>
          <cell r="W217">
            <v>317696.15294999996</v>
          </cell>
          <cell r="X217">
            <v>330977.22516000003</v>
          </cell>
          <cell r="Y217">
            <v>226668.801590224</v>
          </cell>
          <cell r="Z217">
            <v>171017.20148807601</v>
          </cell>
          <cell r="AD217">
            <v>0</v>
          </cell>
          <cell r="AH217">
            <v>0</v>
          </cell>
          <cell r="AL217">
            <v>0</v>
          </cell>
          <cell r="AP217">
            <v>0</v>
          </cell>
          <cell r="AT217">
            <v>0</v>
          </cell>
          <cell r="AX217">
            <v>0</v>
          </cell>
          <cell r="AZ217">
            <v>2272751.0250800001</v>
          </cell>
          <cell r="BA217">
            <v>2107284.6444700002</v>
          </cell>
          <cell r="BB217">
            <v>1419036.6401285161</v>
          </cell>
          <cell r="BC217">
            <v>929436.66252861905</v>
          </cell>
          <cell r="BF217">
            <v>1080184.2911799999</v>
          </cell>
          <cell r="BG217">
            <v>744064.43998981302</v>
          </cell>
          <cell r="BH217">
            <v>461432.99152760208</v>
          </cell>
          <cell r="BJ217">
            <v>1027100.3532900001</v>
          </cell>
          <cell r="BK217">
            <v>674972.20013870299</v>
          </cell>
          <cell r="BL217">
            <v>468003.67100101698</v>
          </cell>
          <cell r="BN217">
            <v>0</v>
          </cell>
          <cell r="BO217">
            <v>0</v>
          </cell>
          <cell r="BP217">
            <v>0</v>
          </cell>
          <cell r="BR217">
            <v>0</v>
          </cell>
          <cell r="BS217">
            <v>0</v>
          </cell>
          <cell r="BT217">
            <v>0</v>
          </cell>
        </row>
        <row r="218">
          <cell r="C218">
            <v>51116.632553051517</v>
          </cell>
          <cell r="D218">
            <v>-21810.666901002809</v>
          </cell>
          <cell r="E218">
            <v>-107690.22865192649</v>
          </cell>
          <cell r="F218">
            <v>-104338.7182971779</v>
          </cell>
          <cell r="G218">
            <v>52761.322936827542</v>
          </cell>
          <cell r="H218">
            <v>-40595.036515616637</v>
          </cell>
          <cell r="I218">
            <v>-97434.640090314992</v>
          </cell>
          <cell r="J218">
            <v>-93935.509977568028</v>
          </cell>
          <cell r="K218">
            <v>46604.52333353096</v>
          </cell>
          <cell r="L218">
            <v>-18305.803728911014</v>
          </cell>
          <cell r="M218">
            <v>-122961.06394148336</v>
          </cell>
          <cell r="N218">
            <v>-84315.494570456503</v>
          </cell>
          <cell r="O218">
            <v>8207.3846232872875</v>
          </cell>
          <cell r="P218">
            <v>4312.4836786798742</v>
          </cell>
          <cell r="Q218">
            <v>-128096.49286835817</v>
          </cell>
          <cell r="R218">
            <v>-66771.584019322603</v>
          </cell>
          <cell r="S218">
            <v>-13158.544613406601</v>
          </cell>
          <cell r="T218">
            <v>18452.711049445388</v>
          </cell>
          <cell r="U218">
            <v>-116701.09906429664</v>
          </cell>
          <cell r="V218">
            <v>-67482.407257642742</v>
          </cell>
          <cell r="W218">
            <v>-125603.7413491132</v>
          </cell>
          <cell r="X218">
            <v>30282.707647898766</v>
          </cell>
          <cell r="Y218">
            <v>-107516.10034567541</v>
          </cell>
          <cell r="Z218">
            <v>-44148.135962008884</v>
          </cell>
          <cell r="AD218" t="e">
            <v>#DIV/0!</v>
          </cell>
          <cell r="AH218" t="e">
            <v>#DIV/0!</v>
          </cell>
          <cell r="AL218" t="e">
            <v>#DIV/0!</v>
          </cell>
          <cell r="AP218" t="e">
            <v>#DIV/0!</v>
          </cell>
          <cell r="AT218" t="e">
            <v>#DIV/0!</v>
          </cell>
          <cell r="AX218" t="e">
            <v>#DIV/0!</v>
          </cell>
          <cell r="BA218">
            <v>-29133.213387630516</v>
          </cell>
          <cell r="BB218">
            <v>-680635.71509408788</v>
          </cell>
          <cell r="BC218">
            <v>-460445.01762194984</v>
          </cell>
          <cell r="BF218">
            <v>-80847.561354359277</v>
          </cell>
          <cell r="BG218">
            <v>-328206.91125038295</v>
          </cell>
          <cell r="BH218">
            <v>-282592.24047350138</v>
          </cell>
          <cell r="BJ218">
            <v>52774.062110504092</v>
          </cell>
          <cell r="BK218">
            <v>-352451.86222400033</v>
          </cell>
          <cell r="BL218">
            <v>-178581.9111227309</v>
          </cell>
          <cell r="BN218" t="e">
            <v>#DIV/0!</v>
          </cell>
          <cell r="BO218" t="e">
            <v>#DIV/0!</v>
          </cell>
          <cell r="BP218" t="e">
            <v>#DIV/0!</v>
          </cell>
          <cell r="BR218" t="e">
            <v>#DIV/0!</v>
          </cell>
          <cell r="BS218" t="e">
            <v>#DIV/0!</v>
          </cell>
          <cell r="BT218" t="e">
            <v>#DIV/0!</v>
          </cell>
        </row>
        <row r="219">
          <cell r="C219">
            <v>210158.56901694846</v>
          </cell>
          <cell r="D219">
            <v>-25563.552748997194</v>
          </cell>
          <cell r="E219">
            <v>-188.06290695845993</v>
          </cell>
          <cell r="F219">
            <v>-1095.849486887751</v>
          </cell>
          <cell r="G219">
            <v>185059.33966317249</v>
          </cell>
          <cell r="H219">
            <v>-29134.443974383419</v>
          </cell>
          <cell r="I219">
            <v>-1967.215122696972</v>
          </cell>
          <cell r="J219">
            <v>6004.7134226237295</v>
          </cell>
          <cell r="K219">
            <v>205684.07842646903</v>
          </cell>
          <cell r="L219">
            <v>-29560.937651089051</v>
          </cell>
          <cell r="M219">
            <v>-5878.6404768066295</v>
          </cell>
          <cell r="N219">
            <v>-4950.5895527444964</v>
          </cell>
          <cell r="O219">
            <v>197586.68427671277</v>
          </cell>
          <cell r="P219">
            <v>-23734.716718679883</v>
          </cell>
          <cell r="Q219">
            <v>-4413.4127090528582</v>
          </cell>
          <cell r="R219">
            <v>-4553.3953925174237</v>
          </cell>
          <cell r="S219">
            <v>193668.29582340666</v>
          </cell>
          <cell r="T219">
            <v>-12807.489309445358</v>
          </cell>
          <cell r="U219">
            <v>1391.2750601865678</v>
          </cell>
          <cell r="V219">
            <v>-12509.542366055235</v>
          </cell>
          <cell r="W219">
            <v>238880.70614864709</v>
          </cell>
          <cell r="X219">
            <v>-17001.635437898698</v>
          </cell>
          <cell r="Y219">
            <v>3207.6767758993883</v>
          </cell>
          <cell r="Z219">
            <v>-11503.464140139127</v>
          </cell>
          <cell r="AD219">
            <v>0</v>
          </cell>
          <cell r="AH219">
            <v>0</v>
          </cell>
          <cell r="AL219">
            <v>0</v>
          </cell>
          <cell r="AP219">
            <v>0</v>
          </cell>
          <cell r="AT219">
            <v>0</v>
          </cell>
          <cell r="AX219">
            <v>0</v>
          </cell>
          <cell r="BA219">
            <v>-136333.16722236949</v>
          </cell>
          <cell r="BB219">
            <v>-7612.2892473960464</v>
          </cell>
          <cell r="BC219">
            <v>-29154.959977947288</v>
          </cell>
          <cell r="BF219">
            <v>-84122.880165640905</v>
          </cell>
          <cell r="BG219">
            <v>-7912.9399398038931</v>
          </cell>
          <cell r="BH219">
            <v>-39.20798870956331</v>
          </cell>
          <cell r="BJ219">
            <v>-53270.001200503924</v>
          </cell>
          <cell r="BK219">
            <v>323.70907270316195</v>
          </cell>
          <cell r="BL219">
            <v>-28386.618014955107</v>
          </cell>
          <cell r="BN219" t="e">
            <v>#DIV/0!</v>
          </cell>
          <cell r="BO219" t="e">
            <v>#DIV/0!</v>
          </cell>
          <cell r="BP219" t="e">
            <v>#DIV/0!</v>
          </cell>
          <cell r="BR219" t="e">
            <v>#DIV/0!</v>
          </cell>
          <cell r="BS219" t="e">
            <v>#DIV/0!</v>
          </cell>
          <cell r="BT219" t="e">
            <v>#DIV/0!</v>
          </cell>
        </row>
        <row r="220">
          <cell r="C220">
            <v>261275.20156999998</v>
          </cell>
          <cell r="D220">
            <v>-47374.219649999985</v>
          </cell>
          <cell r="E220">
            <v>-107878.29155888496</v>
          </cell>
          <cell r="F220">
            <v>-105434.56778406564</v>
          </cell>
          <cell r="G220">
            <v>237820.66260000001</v>
          </cell>
          <cell r="H220">
            <v>-69729.480490000045</v>
          </cell>
          <cell r="I220">
            <v>-99401.855213011964</v>
          </cell>
          <cell r="J220">
            <v>-87930.796554944303</v>
          </cell>
          <cell r="K220">
            <v>252288.60175999999</v>
          </cell>
          <cell r="L220">
            <v>-47866.741380000021</v>
          </cell>
          <cell r="M220">
            <v>-128839.70441829</v>
          </cell>
          <cell r="N220">
            <v>-89266.084123200999</v>
          </cell>
          <cell r="O220">
            <v>205794.06890000004</v>
          </cell>
          <cell r="P220">
            <v>-19422.233040000021</v>
          </cell>
          <cell r="Q220">
            <v>-132509.90557741103</v>
          </cell>
          <cell r="R220">
            <v>-71324.979411840002</v>
          </cell>
          <cell r="S220">
            <v>180509.75121000007</v>
          </cell>
          <cell r="T220">
            <v>5645.2217400000081</v>
          </cell>
          <cell r="U220">
            <v>-115309.82400411007</v>
          </cell>
          <cell r="V220">
            <v>-79991.94962369799</v>
          </cell>
          <cell r="W220">
            <v>113276.96479953389</v>
          </cell>
          <cell r="X220">
            <v>13281.072210000071</v>
          </cell>
          <cell r="Y220">
            <v>-104308.42356977603</v>
          </cell>
          <cell r="Z220">
            <v>-55651.60010214799</v>
          </cell>
          <cell r="AD220">
            <v>0</v>
          </cell>
          <cell r="AH220">
            <v>0</v>
          </cell>
          <cell r="AL220">
            <v>0</v>
          </cell>
          <cell r="AP220">
            <v>0</v>
          </cell>
          <cell r="AT220">
            <v>0</v>
          </cell>
          <cell r="AX220">
            <v>0</v>
          </cell>
          <cell r="BA220">
            <v>-165466.38060999988</v>
          </cell>
          <cell r="BB220">
            <v>-688248.00434148405</v>
          </cell>
          <cell r="BC220">
            <v>-489599.97759989707</v>
          </cell>
          <cell r="BF220">
            <v>1080184.2911799999</v>
          </cell>
          <cell r="BG220">
            <v>-336119.85119018692</v>
          </cell>
          <cell r="BH220">
            <v>-282631.44846221094</v>
          </cell>
          <cell r="BJ220">
            <v>1027100.3532900001</v>
          </cell>
          <cell r="BK220">
            <v>-352128.15315129713</v>
          </cell>
          <cell r="BL220">
            <v>-206968.52913768601</v>
          </cell>
          <cell r="BN220">
            <v>0</v>
          </cell>
          <cell r="BO220">
            <v>0</v>
          </cell>
          <cell r="BP220">
            <v>0</v>
          </cell>
          <cell r="BR220">
            <v>0</v>
          </cell>
          <cell r="BS220">
            <v>0</v>
          </cell>
          <cell r="BT220">
            <v>0</v>
          </cell>
        </row>
        <row r="222">
          <cell r="AZ222">
            <v>63.846774089091966</v>
          </cell>
          <cell r="BA222">
            <v>63.28735394280217</v>
          </cell>
          <cell r="BB222">
            <v>51.114828408471723</v>
          </cell>
          <cell r="BC222">
            <v>43.116003275770538</v>
          </cell>
          <cell r="BE222">
            <v>65.26151496856491</v>
          </cell>
          <cell r="BG222">
            <v>51.475633360811003</v>
          </cell>
          <cell r="BH222">
            <v>42.228506991336936</v>
          </cell>
          <cell r="BI222">
            <v>62.395480287279334</v>
          </cell>
          <cell r="BK222">
            <v>50.736529062833014</v>
          </cell>
          <cell r="BL222">
            <v>44.068799200653061</v>
          </cell>
          <cell r="BM222" t="e">
            <v>#DIV/0!</v>
          </cell>
          <cell r="BO222" t="e">
            <v>#DIV/0!</v>
          </cell>
          <cell r="BP222" t="e">
            <v>#DIV/0!</v>
          </cell>
          <cell r="BQ222" t="e">
            <v>#DIV/0!</v>
          </cell>
          <cell r="BR222" t="e">
            <v>#DIV/0!</v>
          </cell>
          <cell r="BS222" t="e">
            <v>#DIV/0!</v>
          </cell>
          <cell r="BT222" t="e">
            <v>#DIV/0!</v>
          </cell>
        </row>
        <row r="223">
          <cell r="AZ223">
            <v>63.846774089091966</v>
          </cell>
          <cell r="BA223">
            <v>63.587964286577368</v>
          </cell>
          <cell r="BB223">
            <v>58.164650473163462</v>
          </cell>
          <cell r="BC223">
            <v>47.893099225012584</v>
          </cell>
          <cell r="BG223">
            <v>58.117364348147007</v>
          </cell>
          <cell r="BH223">
            <v>47.891334271979439</v>
          </cell>
          <cell r="BK223">
            <v>58.214718610176654</v>
          </cell>
          <cell r="BL223">
            <v>47.91068009479298</v>
          </cell>
          <cell r="BO223" t="e">
            <v>#DIV/0!</v>
          </cell>
          <cell r="BP223" t="e">
            <v>#DIV/0!</v>
          </cell>
          <cell r="BR223" t="e">
            <v>#DIV/0!</v>
          </cell>
          <cell r="BS223" t="e">
            <v>#DIV/0!</v>
          </cell>
          <cell r="BT223" t="e">
            <v>#DIV/0!</v>
          </cell>
        </row>
        <row r="225">
          <cell r="AZ225">
            <v>63.514929329937765</v>
          </cell>
          <cell r="BA225">
            <v>62.552813624228186</v>
          </cell>
          <cell r="BB225">
            <v>51.845010794603766</v>
          </cell>
          <cell r="BC225">
            <v>43.584989446563995</v>
          </cell>
          <cell r="BE225">
            <v>65.931444846238591</v>
          </cell>
          <cell r="BG225">
            <v>54.513840288204442</v>
          </cell>
          <cell r="BH225">
            <v>44.771959538308415</v>
          </cell>
          <cell r="BI225">
            <v>61.035943179469001</v>
          </cell>
          <cell r="BK225">
            <v>49.04677744302532</v>
          </cell>
          <cell r="BL225">
            <v>42.31068521993469</v>
          </cell>
          <cell r="BM225" t="e">
            <v>#DIV/0!</v>
          </cell>
          <cell r="BO225" t="e">
            <v>#DIV/0!</v>
          </cell>
          <cell r="BP225" t="e">
            <v>#DIV/0!</v>
          </cell>
          <cell r="BQ225" t="e">
            <v>#DIV/0!</v>
          </cell>
          <cell r="BR225" t="e">
            <v>#DIV/0!</v>
          </cell>
          <cell r="BS225" t="e">
            <v>#DIV/0!</v>
          </cell>
          <cell r="BT225" t="e">
            <v>#DIV/0!</v>
          </cell>
        </row>
        <row r="227">
          <cell r="AZ227">
            <v>81.90120156933952</v>
          </cell>
          <cell r="BA227">
            <v>81.65245460186641</v>
          </cell>
          <cell r="BB227">
            <v>66.267602180185435</v>
          </cell>
          <cell r="BC227">
            <v>55.292347553590226</v>
          </cell>
          <cell r="BE227">
            <v>83.462351421025161</v>
          </cell>
          <cell r="BG227">
            <v>69.681316540855704</v>
          </cell>
          <cell r="BH227">
            <v>56.591502709883635</v>
          </cell>
          <cell r="BI227">
            <v>80.192156723534396</v>
          </cell>
          <cell r="BK227">
            <v>62.630745549836</v>
          </cell>
          <cell r="BL227">
            <v>53.873291990458767</v>
          </cell>
          <cell r="BM227" t="e">
            <v>#DIV/0!</v>
          </cell>
          <cell r="BO227" t="e">
            <v>#DIV/0!</v>
          </cell>
          <cell r="BP227" t="e">
            <v>#DIV/0!</v>
          </cell>
          <cell r="BQ227" t="e">
            <v>#DIV/0!</v>
          </cell>
          <cell r="BR227" t="e">
            <v>#DIV/0!</v>
          </cell>
          <cell r="BS227" t="e">
            <v>#DIV/0!</v>
          </cell>
          <cell r="BT227" t="e">
            <v>#DIV/0!</v>
          </cell>
        </row>
        <row r="228">
          <cell r="AZ228">
            <v>24.505800149342981</v>
          </cell>
          <cell r="BA228">
            <v>23.55153094937517</v>
          </cell>
          <cell r="BB228">
            <v>19.523968027616618</v>
          </cell>
          <cell r="BC228">
            <v>16.046246305213309</v>
          </cell>
          <cell r="BE228">
            <v>23.524365129840991</v>
          </cell>
          <cell r="BG228">
            <v>19.820722885039416</v>
          </cell>
          <cell r="BH228">
            <v>16.166446811427985</v>
          </cell>
          <cell r="BI228">
            <v>25.513028275328882</v>
          </cell>
          <cell r="BK228">
            <v>19.2225065625274</v>
          </cell>
          <cell r="BL228">
            <v>15.920609425406901</v>
          </cell>
          <cell r="BM228" t="e">
            <v>#DIV/0!</v>
          </cell>
          <cell r="BO228" t="e">
            <v>#DIV/0!</v>
          </cell>
          <cell r="BP228" t="e">
            <v>#DIV/0!</v>
          </cell>
          <cell r="BQ228" t="e">
            <v>#DIV/0!</v>
          </cell>
          <cell r="BR228" t="e">
            <v>#DIV/0!</v>
          </cell>
          <cell r="BS228" t="e">
            <v>#DIV/0!</v>
          </cell>
          <cell r="BT228" t="e">
            <v>#DIV/0!</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ersJYS"/>
    </sheetNames>
    <sheetDataSet>
      <sheetData sheetId="0">
        <row r="3">
          <cell r="F3">
            <v>551507000</v>
          </cell>
        </row>
        <row r="8">
          <cell r="F8">
            <v>4492000000</v>
          </cell>
        </row>
        <row r="10">
          <cell r="F10">
            <v>112718186.38127699</v>
          </cell>
        </row>
        <row r="28">
          <cell r="F28">
            <v>274837000</v>
          </cell>
        </row>
        <row r="48">
          <cell r="F48">
            <v>2954000000</v>
          </cell>
        </row>
        <row r="50">
          <cell r="F50">
            <v>2118000000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er Comparison"/>
      <sheetName val="Sheet1"/>
      <sheetName val="Sheet2"/>
      <sheetName val="Sheet3"/>
      <sheetName val="Sheet3 (2)"/>
    </sheetNames>
    <sheetDataSet>
      <sheetData sheetId="0"/>
      <sheetData sheetId="1">
        <row r="16">
          <cell r="B16">
            <v>1004087.0937078421</v>
          </cell>
        </row>
        <row r="20">
          <cell r="B20">
            <v>1.1868263295760884</v>
          </cell>
        </row>
        <row r="21">
          <cell r="B21">
            <v>-2.8160336067647203</v>
          </cell>
        </row>
        <row r="22">
          <cell r="B22">
            <v>0.27</v>
          </cell>
        </row>
      </sheetData>
      <sheetData sheetId="2"/>
      <sheetData sheetId="3"/>
      <sheetData sheetId="4"/>
    </sheetDataSet>
  </externalBook>
</externalLink>
</file>

<file path=xl/persons/person.xml><?xml version="1.0" encoding="utf-8"?>
<personList xmlns="http://schemas.microsoft.com/office/spreadsheetml/2018/threadedcomments" xmlns:x="http://schemas.openxmlformats.org/spreadsheetml/2006/main">
  <person displayName="FILIPPO FELICE BOGGETTI" id="{7F04EFC3-6590-2847-AB20-84936DF14FA0}" userId="S::filippo.boggetti@studbocconi.it::5cb1bd67-a8df-461c-ae4c-f0ade4f00ea6" providerId="AD"/>
</personList>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57" dT="2022-11-20T19:11:57.95" personId="{7F04EFC3-6590-2847-AB20-84936DF14FA0}" id="{AC9A4CEA-CCE5-3247-A365-7D9FF274C90F}">
    <text>Brasile market share</text>
  </threadedComment>
</ThreadedComments>
</file>

<file path=xl/threadedComments/threadedComment2.xml><?xml version="1.0" encoding="utf-8"?>
<ThreadedComments xmlns="http://schemas.microsoft.com/office/spreadsheetml/2018/threadedcomments" xmlns:x="http://schemas.openxmlformats.org/spreadsheetml/2006/main">
  <threadedComment ref="A53" dT="2022-11-20T19:10:30.75" personId="{7F04EFC3-6590-2847-AB20-84936DF14FA0}" id="{53CECD4B-D5B8-9F43-9D55-C2FB7C60059A}">
    <text>SSC MKT</text>
  </threadedComment>
</ThreadedComments>
</file>

<file path=xl/threadedComments/threadedComment3.xml><?xml version="1.0" encoding="utf-8"?>
<ThreadedComments xmlns="http://schemas.microsoft.com/office/spreadsheetml/2018/threadedcomments" xmlns:x="http://schemas.openxmlformats.org/spreadsheetml/2006/main">
  <threadedComment ref="A3" dT="2022-11-20T19:12:54.71" personId="{7F04EFC3-6590-2847-AB20-84936DF14FA0}" id="{F90C8E85-6CF9-1B4A-8C31-A863D8C88E6D}">
    <text>Internazionale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file:///./Users/filbogg/Downloads/InfoCtr@eia.gov" TargetMode="External"/><Relationship Id="rId1" Type="http://schemas.openxmlformats.org/officeDocument/2006/relationships/hyperlink" Target="https://www.eia.gov/dnav/pet/hist/LeafHandler.ashx?n=PET&amp;s=EER_EPJK_PF4_RGC_DPG&amp;f=M"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it.investing.com/currencies/usd-brl-contracts?page=chart&amp;symbol=L6X23" TargetMode="External"/><Relationship Id="rId18" Type="http://schemas.openxmlformats.org/officeDocument/2006/relationships/hyperlink" Target="https://it.investing.com/currencies/usd-brl-contracts?page=chart&amp;symbol=L6J24" TargetMode="External"/><Relationship Id="rId26" Type="http://schemas.openxmlformats.org/officeDocument/2006/relationships/hyperlink" Target="https://it.investing.com/currencies/usd-brl-contracts?page=chart&amp;symbol=L6Z24" TargetMode="External"/><Relationship Id="rId39" Type="http://schemas.openxmlformats.org/officeDocument/2006/relationships/hyperlink" Target="https://it.investing.com/currencies/usd-brl-contracts?page=chart&amp;symbol=L6F26" TargetMode="External"/><Relationship Id="rId21" Type="http://schemas.openxmlformats.org/officeDocument/2006/relationships/hyperlink" Target="https://it.investing.com/currencies/usd-brl-contracts?page=chart&amp;symbol=L6N24" TargetMode="External"/><Relationship Id="rId34" Type="http://schemas.openxmlformats.org/officeDocument/2006/relationships/hyperlink" Target="https://it.investing.com/currencies/usd-brl-contracts?page=chart&amp;symbol=L6Q25" TargetMode="External"/><Relationship Id="rId42" Type="http://schemas.openxmlformats.org/officeDocument/2006/relationships/hyperlink" Target="https://it.investing.com/currencies/usd-brl-contracts?page=chart&amp;symbol=L6J26" TargetMode="External"/><Relationship Id="rId47" Type="http://schemas.openxmlformats.org/officeDocument/2006/relationships/hyperlink" Target="https://it.investing.com/currencies/usd-brl-contracts?page=chart&amp;symbol=L6U26" TargetMode="External"/><Relationship Id="rId50" Type="http://schemas.openxmlformats.org/officeDocument/2006/relationships/hyperlink" Target="https://it.investing.com/currencies/usd-brl-contracts?page=chart&amp;symbol=L6Z26" TargetMode="External"/><Relationship Id="rId55" Type="http://schemas.openxmlformats.org/officeDocument/2006/relationships/hyperlink" Target="https://it.investing.com/currencies/usd-brl-contracts?page=chart&amp;symbol=L6K27" TargetMode="External"/><Relationship Id="rId7" Type="http://schemas.openxmlformats.org/officeDocument/2006/relationships/hyperlink" Target="https://it.investing.com/currencies/usd-brl-contracts?page=chart&amp;symbol=L6K23" TargetMode="External"/><Relationship Id="rId2" Type="http://schemas.openxmlformats.org/officeDocument/2006/relationships/hyperlink" Target="https://it.investing.com/currencies/usd-brl-contracts?page=chart&amp;symbol=L6Z22" TargetMode="External"/><Relationship Id="rId16" Type="http://schemas.openxmlformats.org/officeDocument/2006/relationships/hyperlink" Target="https://it.investing.com/currencies/usd-brl-contracts?page=chart&amp;symbol=L6G24" TargetMode="External"/><Relationship Id="rId29" Type="http://schemas.openxmlformats.org/officeDocument/2006/relationships/hyperlink" Target="https://it.investing.com/currencies/usd-brl-contracts?page=chart&amp;symbol=L6H25" TargetMode="External"/><Relationship Id="rId11" Type="http://schemas.openxmlformats.org/officeDocument/2006/relationships/hyperlink" Target="https://it.investing.com/currencies/usd-brl-contracts?page=chart&amp;symbol=L6U23" TargetMode="External"/><Relationship Id="rId24" Type="http://schemas.openxmlformats.org/officeDocument/2006/relationships/hyperlink" Target="https://it.investing.com/currencies/usd-brl-contracts?page=chart&amp;symbol=L6V24" TargetMode="External"/><Relationship Id="rId32" Type="http://schemas.openxmlformats.org/officeDocument/2006/relationships/hyperlink" Target="https://it.investing.com/currencies/usd-brl-contracts?page=chart&amp;symbol=L6M25" TargetMode="External"/><Relationship Id="rId37" Type="http://schemas.openxmlformats.org/officeDocument/2006/relationships/hyperlink" Target="https://it.investing.com/currencies/usd-brl-contracts?page=chart&amp;symbol=L6X25" TargetMode="External"/><Relationship Id="rId40" Type="http://schemas.openxmlformats.org/officeDocument/2006/relationships/hyperlink" Target="https://it.investing.com/currencies/usd-brl-contracts?page=chart&amp;symbol=L6G26" TargetMode="External"/><Relationship Id="rId45" Type="http://schemas.openxmlformats.org/officeDocument/2006/relationships/hyperlink" Target="https://it.investing.com/currencies/usd-brl-contracts?page=chart&amp;symbol=L6N26" TargetMode="External"/><Relationship Id="rId53" Type="http://schemas.openxmlformats.org/officeDocument/2006/relationships/hyperlink" Target="https://it.investing.com/currencies/usd-brl-contracts?page=chart&amp;symbol=L6H27" TargetMode="External"/><Relationship Id="rId58" Type="http://schemas.openxmlformats.org/officeDocument/2006/relationships/hyperlink" Target="https://it.investing.com/currencies/usd-brl-contracts?page=chart&amp;symbol=L6Q27" TargetMode="External"/><Relationship Id="rId5" Type="http://schemas.openxmlformats.org/officeDocument/2006/relationships/hyperlink" Target="https://it.investing.com/currencies/usd-brl-contracts?page=chart&amp;symbol=L6H23" TargetMode="External"/><Relationship Id="rId61" Type="http://schemas.openxmlformats.org/officeDocument/2006/relationships/hyperlink" Target="https://it.investing.com/currencies/usd-brl-contracts?page=chart&amp;symbol=L6X27" TargetMode="External"/><Relationship Id="rId19" Type="http://schemas.openxmlformats.org/officeDocument/2006/relationships/hyperlink" Target="https://it.investing.com/currencies/usd-brl-contracts?page=chart&amp;symbol=L6K24" TargetMode="External"/><Relationship Id="rId14" Type="http://schemas.openxmlformats.org/officeDocument/2006/relationships/hyperlink" Target="https://it.investing.com/currencies/usd-brl-contracts?page=chart&amp;symbol=L6Z23" TargetMode="External"/><Relationship Id="rId22" Type="http://schemas.openxmlformats.org/officeDocument/2006/relationships/hyperlink" Target="https://it.investing.com/currencies/usd-brl-contracts?page=chart&amp;symbol=L6Q24" TargetMode="External"/><Relationship Id="rId27" Type="http://schemas.openxmlformats.org/officeDocument/2006/relationships/hyperlink" Target="https://it.investing.com/currencies/usd-brl-contracts?page=chart&amp;symbol=L6F25" TargetMode="External"/><Relationship Id="rId30" Type="http://schemas.openxmlformats.org/officeDocument/2006/relationships/hyperlink" Target="https://it.investing.com/currencies/usd-brl-contracts?page=chart&amp;symbol=L6J25" TargetMode="External"/><Relationship Id="rId35" Type="http://schemas.openxmlformats.org/officeDocument/2006/relationships/hyperlink" Target="https://it.investing.com/currencies/usd-brl-contracts?page=chart&amp;symbol=L6U25" TargetMode="External"/><Relationship Id="rId43" Type="http://schemas.openxmlformats.org/officeDocument/2006/relationships/hyperlink" Target="https://it.investing.com/currencies/usd-brl-contracts?page=chart&amp;symbol=L6K26" TargetMode="External"/><Relationship Id="rId48" Type="http://schemas.openxmlformats.org/officeDocument/2006/relationships/hyperlink" Target="https://it.investing.com/currencies/usd-brl-contracts?page=chart&amp;symbol=L6V26" TargetMode="External"/><Relationship Id="rId56" Type="http://schemas.openxmlformats.org/officeDocument/2006/relationships/hyperlink" Target="https://it.investing.com/currencies/usd-brl-contracts?page=chart&amp;symbol=L6M27" TargetMode="External"/><Relationship Id="rId8" Type="http://schemas.openxmlformats.org/officeDocument/2006/relationships/hyperlink" Target="https://it.investing.com/currencies/usd-brl-contracts?page=chart&amp;symbol=L6M23" TargetMode="External"/><Relationship Id="rId51" Type="http://schemas.openxmlformats.org/officeDocument/2006/relationships/hyperlink" Target="https://it.investing.com/currencies/usd-brl-contracts?page=chart&amp;symbol=L6F27" TargetMode="External"/><Relationship Id="rId3" Type="http://schemas.openxmlformats.org/officeDocument/2006/relationships/hyperlink" Target="https://it.investing.com/currencies/usd-brl-contracts?page=chart&amp;symbol=L6F23" TargetMode="External"/><Relationship Id="rId12" Type="http://schemas.openxmlformats.org/officeDocument/2006/relationships/hyperlink" Target="https://it.investing.com/currencies/usd-brl-contracts?page=chart&amp;symbol=L6V23" TargetMode="External"/><Relationship Id="rId17" Type="http://schemas.openxmlformats.org/officeDocument/2006/relationships/hyperlink" Target="https://it.investing.com/currencies/usd-brl-contracts?page=chart&amp;symbol=L6H24" TargetMode="External"/><Relationship Id="rId25" Type="http://schemas.openxmlformats.org/officeDocument/2006/relationships/hyperlink" Target="https://it.investing.com/currencies/usd-brl-contracts?page=chart&amp;symbol=L6X24" TargetMode="External"/><Relationship Id="rId33" Type="http://schemas.openxmlformats.org/officeDocument/2006/relationships/hyperlink" Target="https://it.investing.com/currencies/usd-brl-contracts?page=chart&amp;symbol=L6N25" TargetMode="External"/><Relationship Id="rId38" Type="http://schemas.openxmlformats.org/officeDocument/2006/relationships/hyperlink" Target="https://it.investing.com/currencies/usd-brl-contracts?page=chart&amp;symbol=L6Z25" TargetMode="External"/><Relationship Id="rId46" Type="http://schemas.openxmlformats.org/officeDocument/2006/relationships/hyperlink" Target="https://it.investing.com/currencies/usd-brl-contracts?page=chart&amp;symbol=L6Q26" TargetMode="External"/><Relationship Id="rId59" Type="http://schemas.openxmlformats.org/officeDocument/2006/relationships/hyperlink" Target="https://it.investing.com/currencies/usd-brl-contracts?page=chart&amp;symbol=L6U27" TargetMode="External"/><Relationship Id="rId20" Type="http://schemas.openxmlformats.org/officeDocument/2006/relationships/hyperlink" Target="https://it.investing.com/currencies/usd-brl-contracts?page=chart&amp;symbol=L6M24" TargetMode="External"/><Relationship Id="rId41" Type="http://schemas.openxmlformats.org/officeDocument/2006/relationships/hyperlink" Target="https://it.investing.com/currencies/usd-brl-contracts?page=chart&amp;symbol=L6H26" TargetMode="External"/><Relationship Id="rId54" Type="http://schemas.openxmlformats.org/officeDocument/2006/relationships/hyperlink" Target="https://it.investing.com/currencies/usd-brl-contracts?page=chart&amp;symbol=L6J27" TargetMode="External"/><Relationship Id="rId62" Type="http://schemas.openxmlformats.org/officeDocument/2006/relationships/drawing" Target="../drawings/drawing7.xml"/><Relationship Id="rId1" Type="http://schemas.openxmlformats.org/officeDocument/2006/relationships/hyperlink" Target="https://it.investing.com/currencies/usd-brl-contracts?page=chart&amp;symbol=L6Y00" TargetMode="External"/><Relationship Id="rId6" Type="http://schemas.openxmlformats.org/officeDocument/2006/relationships/hyperlink" Target="https://it.investing.com/currencies/usd-brl-contracts?page=chart&amp;symbol=L6J23" TargetMode="External"/><Relationship Id="rId15" Type="http://schemas.openxmlformats.org/officeDocument/2006/relationships/hyperlink" Target="https://it.investing.com/currencies/usd-brl-contracts?page=chart&amp;symbol=L6F24" TargetMode="External"/><Relationship Id="rId23" Type="http://schemas.openxmlformats.org/officeDocument/2006/relationships/hyperlink" Target="https://it.investing.com/currencies/usd-brl-contracts?page=chart&amp;symbol=L6U24" TargetMode="External"/><Relationship Id="rId28" Type="http://schemas.openxmlformats.org/officeDocument/2006/relationships/hyperlink" Target="https://it.investing.com/currencies/usd-brl-contracts?page=chart&amp;symbol=L6G25" TargetMode="External"/><Relationship Id="rId36" Type="http://schemas.openxmlformats.org/officeDocument/2006/relationships/hyperlink" Target="https://it.investing.com/currencies/usd-brl-contracts?page=chart&amp;symbol=L6V25" TargetMode="External"/><Relationship Id="rId49" Type="http://schemas.openxmlformats.org/officeDocument/2006/relationships/hyperlink" Target="https://it.investing.com/currencies/usd-brl-contracts?page=chart&amp;symbol=L6X26" TargetMode="External"/><Relationship Id="rId57" Type="http://schemas.openxmlformats.org/officeDocument/2006/relationships/hyperlink" Target="https://it.investing.com/currencies/usd-brl-contracts?page=chart&amp;symbol=L6N27" TargetMode="External"/><Relationship Id="rId10" Type="http://schemas.openxmlformats.org/officeDocument/2006/relationships/hyperlink" Target="https://it.investing.com/currencies/usd-brl-contracts?page=chart&amp;symbol=L6Q23" TargetMode="External"/><Relationship Id="rId31" Type="http://schemas.openxmlformats.org/officeDocument/2006/relationships/hyperlink" Target="https://it.investing.com/currencies/usd-brl-contracts?page=chart&amp;symbol=L6K25" TargetMode="External"/><Relationship Id="rId44" Type="http://schemas.openxmlformats.org/officeDocument/2006/relationships/hyperlink" Target="https://it.investing.com/currencies/usd-brl-contracts?page=chart&amp;symbol=L6M26" TargetMode="External"/><Relationship Id="rId52" Type="http://schemas.openxmlformats.org/officeDocument/2006/relationships/hyperlink" Target="https://it.investing.com/currencies/usd-brl-contracts?page=chart&amp;symbol=L6G27" TargetMode="External"/><Relationship Id="rId60" Type="http://schemas.openxmlformats.org/officeDocument/2006/relationships/hyperlink" Target="https://it.investing.com/currencies/usd-brl-contracts?page=chart&amp;symbol=L6V27" TargetMode="External"/><Relationship Id="rId4" Type="http://schemas.openxmlformats.org/officeDocument/2006/relationships/hyperlink" Target="https://it.investing.com/currencies/usd-brl-contracts?page=chart&amp;symbol=L6G23" TargetMode="External"/><Relationship Id="rId9" Type="http://schemas.openxmlformats.org/officeDocument/2006/relationships/hyperlink" Target="https://it.investing.com/currencies/usd-brl-contracts?page=chart&amp;symbol=L6N23" TargetMode="External"/></Relationships>
</file>

<file path=xl/worksheets/_rels/sheet15.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7.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0.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1.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8.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s>
</file>

<file path=xl/worksheets/_rels/sheet30.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31297-D91C-EA49-A447-D1CCA2C03102}">
  <sheetPr>
    <tabColor theme="9"/>
  </sheetPr>
  <dimension ref="A1:T151"/>
  <sheetViews>
    <sheetView zoomScale="92" zoomScaleNormal="67" workbookViewId="0">
      <pane xSplit="2" ySplit="6" topLeftCell="C7" activePane="bottomRight" state="frozen"/>
      <selection pane="topRight" activeCell="C1" sqref="C1"/>
      <selection pane="bottomLeft" activeCell="A7" sqref="A7"/>
      <selection pane="bottomRight" activeCell="H17" sqref="H17"/>
    </sheetView>
  </sheetViews>
  <sheetFormatPr baseColWidth="10" defaultColWidth="10.83203125" defaultRowHeight="13" x14ac:dyDescent="0.15"/>
  <cols>
    <col min="1" max="1" width="27.1640625" style="396" bestFit="1" customWidth="1"/>
    <col min="2" max="2" width="14.1640625" style="396" customWidth="1"/>
    <col min="3" max="3" width="47.33203125" style="396" bestFit="1" customWidth="1"/>
    <col min="4" max="4" width="27.1640625" style="396" customWidth="1"/>
    <col min="5" max="9" width="14.6640625" style="396" customWidth="1"/>
    <col min="10" max="10" width="15" style="396" customWidth="1"/>
    <col min="11" max="11" width="15.83203125" style="396" customWidth="1"/>
    <col min="12" max="12" width="17.83203125" style="396" customWidth="1"/>
    <col min="13" max="13" width="17" style="396" customWidth="1"/>
    <col min="14" max="16384" width="10.83203125" style="396"/>
  </cols>
  <sheetData>
    <row r="1" spans="1:13" x14ac:dyDescent="0.15">
      <c r="A1" s="1127" t="s">
        <v>24</v>
      </c>
      <c r="B1" s="1127"/>
      <c r="C1" s="1127"/>
      <c r="D1" s="1127"/>
      <c r="E1" s="1127"/>
      <c r="F1" s="1127"/>
      <c r="G1" s="1127"/>
      <c r="H1" s="1127"/>
      <c r="I1" s="1127"/>
    </row>
    <row r="2" spans="1:13" x14ac:dyDescent="0.15">
      <c r="A2" s="1127"/>
      <c r="B2" s="1127"/>
      <c r="C2" s="1127"/>
      <c r="D2" s="1127"/>
      <c r="E2" s="1127"/>
      <c r="F2" s="1127"/>
      <c r="G2" s="1127"/>
      <c r="H2" s="1127"/>
      <c r="I2" s="1127"/>
    </row>
    <row r="3" spans="1:13" x14ac:dyDescent="0.15">
      <c r="A3" s="1127"/>
      <c r="B3" s="1127"/>
      <c r="C3" s="1127"/>
      <c r="D3" s="1127"/>
      <c r="E3" s="1127"/>
      <c r="F3" s="1127"/>
      <c r="G3" s="1127"/>
      <c r="H3" s="1127"/>
      <c r="I3" s="1127"/>
    </row>
    <row r="4" spans="1:13" s="397" customFormat="1" ht="14" thickBot="1" x14ac:dyDescent="0.2">
      <c r="A4" s="1128"/>
      <c r="B4" s="1128"/>
      <c r="C4" s="1128"/>
      <c r="D4" s="1128"/>
      <c r="E4" s="1128"/>
      <c r="F4" s="1128"/>
      <c r="G4" s="1128"/>
      <c r="H4" s="1128"/>
      <c r="I4" s="1128"/>
    </row>
    <row r="5" spans="1:13" ht="14" thickTop="1" x14ac:dyDescent="0.15"/>
    <row r="6" spans="1:13" ht="16" customHeight="1" thickBot="1" x14ac:dyDescent="0.25">
      <c r="A6" s="877" t="s">
        <v>25</v>
      </c>
      <c r="B6" s="398"/>
      <c r="C6" s="1129" t="s">
        <v>26</v>
      </c>
      <c r="D6" s="1129"/>
      <c r="E6" s="441">
        <v>2019</v>
      </c>
      <c r="F6" s="441">
        <v>2020</v>
      </c>
      <c r="G6" s="441">
        <v>2021</v>
      </c>
      <c r="H6" s="442" t="s">
        <v>0</v>
      </c>
      <c r="I6" s="442" t="s">
        <v>1</v>
      </c>
      <c r="J6" s="442" t="s">
        <v>2</v>
      </c>
      <c r="K6" s="442" t="s">
        <v>3</v>
      </c>
      <c r="L6" s="442" t="s">
        <v>4</v>
      </c>
      <c r="M6" s="442" t="s">
        <v>5</v>
      </c>
    </row>
    <row r="7" spans="1:13" ht="41" customHeight="1" x14ac:dyDescent="0.15">
      <c r="A7" s="1124" t="s">
        <v>27</v>
      </c>
      <c r="B7" s="1131" t="s">
        <v>28</v>
      </c>
      <c r="C7" s="1130" t="s">
        <v>29</v>
      </c>
      <c r="D7" s="1130"/>
      <c r="E7" s="910" cm="1">
        <f t="array" ref="E7:M7">TRANSPOSE('Domestic, Brazil estimate'!$B$53:$B$61)</f>
        <v>96449372986</v>
      </c>
      <c r="F7" s="910">
        <v>48695532564</v>
      </c>
      <c r="G7" s="910">
        <v>66373162099</v>
      </c>
      <c r="H7" s="910">
        <v>96237179239.518707</v>
      </c>
      <c r="I7" s="910">
        <v>99065544511.813965</v>
      </c>
      <c r="J7" s="910">
        <v>107285220818.03784</v>
      </c>
      <c r="K7" s="910">
        <v>112622271264.76328</v>
      </c>
      <c r="L7" s="910">
        <v>116772534133.71852</v>
      </c>
      <c r="M7" s="910">
        <v>121075739060.1198</v>
      </c>
    </row>
    <row r="8" spans="1:13" ht="21" customHeight="1" x14ac:dyDescent="0.15">
      <c r="A8" s="1125"/>
      <c r="B8" s="1132"/>
      <c r="C8" s="399" t="s">
        <v>30</v>
      </c>
      <c r="D8" s="400"/>
      <c r="E8" s="915" t="s">
        <v>58</v>
      </c>
      <c r="F8" s="929">
        <f>F7/E7-1</f>
        <v>-0.49511820495641434</v>
      </c>
      <c r="G8" s="929">
        <f t="shared" ref="G8:M8" si="0">G7/F7-1</f>
        <v>0.36302364106535823</v>
      </c>
      <c r="H8" s="929">
        <f t="shared" si="0"/>
        <v>0.44994115386539124</v>
      </c>
      <c r="I8" s="929">
        <f t="shared" si="0"/>
        <v>2.9389527983316288E-2</v>
      </c>
      <c r="J8" s="929">
        <f t="shared" si="0"/>
        <v>8.297210040816605E-2</v>
      </c>
      <c r="K8" s="929">
        <f t="shared" si="0"/>
        <v>4.9746371457606298E-2</v>
      </c>
      <c r="L8" s="929">
        <f t="shared" si="0"/>
        <v>3.6851173594238729E-2</v>
      </c>
      <c r="M8" s="929">
        <f t="shared" si="0"/>
        <v>3.6851173594242503E-2</v>
      </c>
    </row>
    <row r="9" spans="1:13" ht="16" customHeight="1" x14ac:dyDescent="0.15">
      <c r="A9" s="1125"/>
      <c r="B9" s="1132"/>
      <c r="C9" s="396" t="s">
        <v>31</v>
      </c>
      <c r="E9" s="915" t="s">
        <v>58</v>
      </c>
      <c r="F9" s="930" t="s">
        <v>58</v>
      </c>
      <c r="G9" s="930" t="s">
        <v>58</v>
      </c>
      <c r="H9" s="931">
        <v>0.01</v>
      </c>
      <c r="I9" s="931">
        <v>0.01</v>
      </c>
      <c r="J9" s="931">
        <v>0.01</v>
      </c>
      <c r="K9" s="931">
        <v>0.01</v>
      </c>
      <c r="L9" s="931">
        <v>0.01</v>
      </c>
      <c r="M9" s="931">
        <v>0.01</v>
      </c>
    </row>
    <row r="10" spans="1:13" ht="16" customHeight="1" x14ac:dyDescent="0.15">
      <c r="A10" s="1125"/>
      <c r="B10" s="1132"/>
      <c r="C10" s="396" t="s">
        <v>1294</v>
      </c>
      <c r="D10" s="402"/>
      <c r="E10" s="396">
        <v>1.86</v>
      </c>
      <c r="F10" s="396">
        <v>1.1000000000000001</v>
      </c>
      <c r="G10" s="396">
        <v>1.69</v>
      </c>
      <c r="H10" s="396">
        <v>3.43</v>
      </c>
      <c r="I10" s="396">
        <v>3.1</v>
      </c>
      <c r="J10" s="396">
        <v>2.38</v>
      </c>
      <c r="K10" s="396">
        <v>2.38</v>
      </c>
      <c r="L10" s="396">
        <v>2.38</v>
      </c>
      <c r="M10" s="396">
        <f>L10</f>
        <v>2.38</v>
      </c>
    </row>
    <row r="11" spans="1:13" ht="16" customHeight="1" x14ac:dyDescent="0.15">
      <c r="A11" s="1125"/>
      <c r="B11" s="1132"/>
      <c r="C11" s="911" t="s">
        <v>34</v>
      </c>
      <c r="D11" s="912">
        <f>'Domestic, Brazil estimate'!B22</f>
        <v>4.6990759509978552E-2</v>
      </c>
    </row>
    <row r="12" spans="1:13" ht="16" customHeight="1" x14ac:dyDescent="0.15">
      <c r="A12" s="1125"/>
      <c r="B12" s="1132"/>
      <c r="C12" s="911" t="s">
        <v>35</v>
      </c>
      <c r="D12" s="912">
        <f>4.1%</f>
        <v>4.0999999999999995E-2</v>
      </c>
    </row>
    <row r="13" spans="1:13" ht="16" customHeight="1" x14ac:dyDescent="0.15">
      <c r="A13" s="1125"/>
      <c r="B13" s="1132"/>
      <c r="C13" s="911" t="s">
        <v>36</v>
      </c>
      <c r="D13" s="912">
        <f>'Domestic, Brazil estimate'!B23</f>
        <v>3.3497113379365118E-2</v>
      </c>
    </row>
    <row r="14" spans="1:13" ht="16" customHeight="1" x14ac:dyDescent="0.15">
      <c r="A14" s="1125"/>
      <c r="B14" s="1132"/>
      <c r="C14" s="911" t="s">
        <v>37</v>
      </c>
      <c r="D14" s="913">
        <f>'Regression_Brazil '!B90</f>
        <v>0.96339276113326955</v>
      </c>
    </row>
    <row r="15" spans="1:13" ht="14" thickBot="1" x14ac:dyDescent="0.2">
      <c r="A15" s="1125"/>
      <c r="B15" s="1133"/>
      <c r="C15" s="911" t="s">
        <v>38</v>
      </c>
      <c r="D15" s="914">
        <f>'Domestic, Brazil estimate'!C13/'Domestic, Brazil estimate'!C10</f>
        <v>0.99779994685385776</v>
      </c>
    </row>
    <row r="16" spans="1:13" ht="12" customHeight="1" thickBot="1" x14ac:dyDescent="0.2">
      <c r="A16" s="1125"/>
    </row>
    <row r="17" spans="1:20" ht="50" customHeight="1" x14ac:dyDescent="0.35">
      <c r="A17" s="1125"/>
      <c r="B17" s="1131" t="s">
        <v>39</v>
      </c>
      <c r="C17" s="1135" t="s">
        <v>1291</v>
      </c>
      <c r="D17" s="1135"/>
      <c r="E17" s="404"/>
      <c r="F17" s="405"/>
      <c r="G17" s="404"/>
      <c r="H17" s="406"/>
      <c r="I17" s="407"/>
      <c r="K17" s="408"/>
    </row>
    <row r="18" spans="1:20" x14ac:dyDescent="0.15">
      <c r="A18" s="1125"/>
      <c r="B18" s="1132"/>
      <c r="C18" s="396" t="s">
        <v>41</v>
      </c>
      <c r="D18" s="409">
        <f>SUM(SS!BM79:BO79)/SUM(SS!AX79:AZ79)</f>
        <v>0.99955011495178625</v>
      </c>
    </row>
    <row r="19" spans="1:20" ht="20" customHeight="1" x14ac:dyDescent="0.15">
      <c r="A19" s="1125"/>
      <c r="B19" s="1132"/>
    </row>
    <row r="20" spans="1:20" ht="13" customHeight="1" thickBot="1" x14ac:dyDescent="0.25">
      <c r="A20" s="1125"/>
      <c r="B20" s="1136"/>
      <c r="C20" s="1137" t="s">
        <v>42</v>
      </c>
      <c r="D20" s="1138"/>
    </row>
    <row r="21" spans="1:20" ht="13" customHeight="1" x14ac:dyDescent="0.15">
      <c r="A21" s="1125"/>
      <c r="B21" s="1136"/>
      <c r="C21" s="1143" t="s">
        <v>43</v>
      </c>
      <c r="D21" s="1143"/>
      <c r="E21" s="401">
        <f>Bra_Mkt_Sh!J59</f>
        <v>0.61190547095175696</v>
      </c>
      <c r="F21" s="401">
        <f>Bra_Mkt_Sh!K59</f>
        <v>0.67056147208337979</v>
      </c>
      <c r="G21" s="401">
        <f>Bra_Mkt_Sh!L59</f>
        <v>0.68429228868522285</v>
      </c>
      <c r="H21" s="401">
        <f>Bra_Mkt_Sh!M59</f>
        <v>0.65547067622518629</v>
      </c>
      <c r="I21" s="401">
        <f>Bra_Mkt_Sh!N59</f>
        <v>0.65750202666135082</v>
      </c>
      <c r="J21" s="401">
        <f>Bra_Mkt_Sh!O59</f>
        <v>0.66167287847553735</v>
      </c>
      <c r="K21" s="401">
        <f>Bra_Mkt_Sh!P59</f>
        <v>0.66335940016633976</v>
      </c>
      <c r="L21" s="401">
        <f>Bra_Mkt_Sh!Q59</f>
        <v>0.66456434016831023</v>
      </c>
      <c r="M21" s="401">
        <f>Bra_Mkt_Sh!R59</f>
        <v>0.66572645487932869</v>
      </c>
    </row>
    <row r="22" spans="1:20" x14ac:dyDescent="0.15">
      <c r="A22" s="1125"/>
      <c r="B22" s="1136"/>
      <c r="C22" s="1143" t="s">
        <v>44</v>
      </c>
      <c r="D22" s="1143"/>
      <c r="E22" s="401">
        <f>Bra_Mkt_Sh!J60</f>
        <v>0.34715697949493357</v>
      </c>
      <c r="F22" s="401">
        <f>Bra_Mkt_Sh!K60</f>
        <v>0.32492315345776157</v>
      </c>
      <c r="G22" s="401">
        <f>Bra_Mkt_Sh!L60</f>
        <v>0.30506081614431718</v>
      </c>
      <c r="H22" s="401">
        <f>Bra_Mkt_Sh!M60</f>
        <v>0.34050995244764731</v>
      </c>
      <c r="I22" s="401">
        <f>Bra_Mkt_Sh!N60</f>
        <v>0.3383078524079946</v>
      </c>
      <c r="J22" s="401">
        <f>Bra_Mkt_Sh!O60</f>
        <v>0.33215957211078689</v>
      </c>
      <c r="K22" s="401">
        <f>Bra_Mkt_Sh!P60</f>
        <v>0.32839587689688216</v>
      </c>
      <c r="L22" s="401">
        <f>Bra_Mkt_Sh!Q60</f>
        <v>0.32570689463048674</v>
      </c>
      <c r="M22" s="401">
        <f>Bra_Mkt_Sh!R60</f>
        <v>0.32311348263956979</v>
      </c>
    </row>
    <row r="23" spans="1:20" x14ac:dyDescent="0.15">
      <c r="A23" s="1125"/>
      <c r="B23" s="1136"/>
      <c r="C23" s="1143" t="s">
        <v>45</v>
      </c>
      <c r="D23" s="1143"/>
      <c r="E23" s="401">
        <f>Bra_Mkt_Sh!J61</f>
        <v>4.0937549553309457E-2</v>
      </c>
      <c r="F23" s="401">
        <f>Bra_Mkt_Sh!K61</f>
        <v>4.5153744588586038E-3</v>
      </c>
      <c r="G23" s="401">
        <f>Bra_Mkt_Sh!L61</f>
        <v>1.0646895170459964E-2</v>
      </c>
      <c r="H23" s="401">
        <f>Bra_Mkt_Sh!M61</f>
        <v>4.0193713271663989E-3</v>
      </c>
      <c r="I23" s="401">
        <f>Bra_Mkt_Sh!N61</f>
        <v>4.1901209306546092E-3</v>
      </c>
      <c r="J23" s="401">
        <f>Bra_Mkt_Sh!O61</f>
        <v>6.167549413675759E-3</v>
      </c>
      <c r="K23" s="401">
        <f>Bra_Mkt_Sh!P61</f>
        <v>8.2447229367780712E-3</v>
      </c>
      <c r="L23" s="401">
        <f>Bra_Mkt_Sh!Q61</f>
        <v>9.7287652012028915E-3</v>
      </c>
      <c r="M23" s="401">
        <f>Bra_Mkt_Sh!R61</f>
        <v>1.116006248110136E-2</v>
      </c>
    </row>
    <row r="24" spans="1:20" ht="12" customHeight="1" x14ac:dyDescent="0.15">
      <c r="A24" s="1125"/>
      <c r="B24" s="1132"/>
    </row>
    <row r="25" spans="1:20" ht="15" x14ac:dyDescent="0.2">
      <c r="A25" s="1125"/>
      <c r="B25" s="1132"/>
      <c r="C25" s="396" t="s">
        <v>46</v>
      </c>
      <c r="D25" s="410"/>
      <c r="E25" s="411">
        <f>Bra_Mkt_Sh!J65</f>
        <v>33483073.000000004</v>
      </c>
      <c r="F25" s="411">
        <f>Bra_Mkt_Sh!K65</f>
        <v>15822305.999999998</v>
      </c>
      <c r="G25" s="411">
        <f>Bra_Mkt_Sh!L65</f>
        <v>20247851</v>
      </c>
      <c r="H25" s="411">
        <f>Bra_Mkt_Sh!M65</f>
        <v>32769717.326544225</v>
      </c>
      <c r="I25" s="411">
        <f>Bra_Mkt_Sh!N65</f>
        <v>33514651.611420378</v>
      </c>
      <c r="J25" s="411">
        <f>Bra_Mkt_Sh!O65</f>
        <v>35635813.040730737</v>
      </c>
      <c r="K25" s="411">
        <f>Bra_Mkt_Sh!P65</f>
        <v>36984689.530110471</v>
      </c>
      <c r="L25" s="411">
        <f>Bra_Mkt_Sh!Q65</f>
        <v>38033619.470825978</v>
      </c>
      <c r="M25" s="411">
        <f>Bra_Mkt_Sh!R65</f>
        <v>39121203.710875101</v>
      </c>
      <c r="N25" s="411"/>
      <c r="O25" s="411"/>
      <c r="P25" s="411"/>
      <c r="Q25" s="411"/>
      <c r="R25" s="411"/>
      <c r="S25" s="411"/>
      <c r="T25" s="412"/>
    </row>
    <row r="26" spans="1:20" x14ac:dyDescent="0.15">
      <c r="A26" s="1125"/>
      <c r="B26" s="1132"/>
      <c r="C26" s="911" t="s">
        <v>47</v>
      </c>
      <c r="D26" s="924">
        <f>H25/E25</f>
        <v>0.97869503574370909</v>
      </c>
    </row>
    <row r="27" spans="1:20" ht="14" thickBot="1" x14ac:dyDescent="0.2">
      <c r="A27" s="1125"/>
      <c r="B27" s="1133"/>
    </row>
    <row r="28" spans="1:20" ht="14" thickBot="1" x14ac:dyDescent="0.2">
      <c r="A28" s="1125"/>
      <c r="B28" s="413"/>
    </row>
    <row r="29" spans="1:20" ht="33" customHeight="1" x14ac:dyDescent="0.15">
      <c r="A29" s="1125"/>
      <c r="B29" s="1131" t="s">
        <v>49</v>
      </c>
      <c r="C29" s="1135" t="s">
        <v>50</v>
      </c>
      <c r="D29" s="1135"/>
    </row>
    <row r="30" spans="1:20" ht="16" customHeight="1" x14ac:dyDescent="0.15">
      <c r="A30" s="1125"/>
      <c r="B30" s="1132"/>
      <c r="C30" s="396" t="s">
        <v>51</v>
      </c>
      <c r="E30" s="414">
        <v>3949.8</v>
      </c>
      <c r="F30" s="414">
        <v>1304</v>
      </c>
      <c r="G30" s="414">
        <v>1664.5</v>
      </c>
      <c r="H30" s="415"/>
      <c r="I30" s="415"/>
      <c r="J30" s="415"/>
      <c r="K30" s="415"/>
      <c r="L30" s="415"/>
      <c r="M30" s="415"/>
    </row>
    <row r="31" spans="1:20" ht="16" customHeight="1" x14ac:dyDescent="0.15">
      <c r="A31" s="1125"/>
      <c r="B31" s="1132"/>
      <c r="C31" s="396" t="s">
        <v>52</v>
      </c>
      <c r="E31" s="403">
        <f>E30/(E25/1000)</f>
        <v>0.11796408292631921</v>
      </c>
      <c r="F31" s="403">
        <f>F30/(F25/1000)</f>
        <v>8.2415293952727245E-2</v>
      </c>
      <c r="G31" s="403">
        <f>G30/(G25/1000)</f>
        <v>8.2206254876134754E-2</v>
      </c>
    </row>
    <row r="32" spans="1:20" ht="16" customHeight="1" x14ac:dyDescent="0.15">
      <c r="A32" s="1125"/>
      <c r="B32" s="1132"/>
      <c r="C32" s="396" t="s">
        <v>53</v>
      </c>
      <c r="E32" s="416">
        <v>3.97760275</v>
      </c>
      <c r="F32" s="416">
        <v>5.3540347499999994</v>
      </c>
      <c r="G32" s="416">
        <v>5.4278000000000004</v>
      </c>
    </row>
    <row r="33" spans="1:13" ht="16" customHeight="1" x14ac:dyDescent="0.15">
      <c r="A33" s="1125"/>
      <c r="B33" s="1132"/>
      <c r="C33" s="396" t="s">
        <v>54</v>
      </c>
      <c r="E33" s="403">
        <f>E30*E32/(E25/1000)</f>
        <v>0.46921426064895533</v>
      </c>
      <c r="F33" s="403">
        <f>F30*F32/(F25/1000)</f>
        <v>0.4412543477543665</v>
      </c>
      <c r="G33" s="403">
        <f>G30*G32/(G25/1000)</f>
        <v>0.44619911021668435</v>
      </c>
      <c r="H33" s="401">
        <f>H37*(1+H36)</f>
        <v>0.44351344178878327</v>
      </c>
      <c r="I33" s="401">
        <f t="shared" ref="I33:M33" si="1">I37*(1+I36)</f>
        <v>0.46524560043643359</v>
      </c>
      <c r="J33" s="401">
        <f t="shared" si="1"/>
        <v>0.48152919645170872</v>
      </c>
      <c r="K33" s="401">
        <f>K37*(1+K36)</f>
        <v>0.4971788953363892</v>
      </c>
      <c r="L33" s="401">
        <f t="shared" si="1"/>
        <v>0.51333720943482186</v>
      </c>
      <c r="M33" s="401">
        <f t="shared" si="1"/>
        <v>0.53002066874145359</v>
      </c>
    </row>
    <row r="34" spans="1:13" ht="16" customHeight="1" x14ac:dyDescent="0.15">
      <c r="A34" s="1125"/>
      <c r="B34" s="1132"/>
      <c r="C34" s="396" t="s">
        <v>55</v>
      </c>
      <c r="E34" s="403">
        <v>3.73E-2</v>
      </c>
      <c r="F34" s="403">
        <v>3.2099999999999997E-2</v>
      </c>
      <c r="G34" s="403">
        <v>8.3000000000000004E-2</v>
      </c>
      <c r="H34" s="403">
        <v>6.5000000000000002E-2</v>
      </c>
      <c r="I34" s="403">
        <v>4.9000000000000002E-2</v>
      </c>
      <c r="J34" s="403">
        <v>3.5000000000000003E-2</v>
      </c>
      <c r="K34" s="403">
        <v>3.2500000000000001E-2</v>
      </c>
      <c r="L34" s="403">
        <v>3.2500000000000001E-2</v>
      </c>
      <c r="M34" s="403">
        <v>3.2500000000000001E-2</v>
      </c>
    </row>
    <row r="35" spans="1:13" ht="16" customHeight="1" x14ac:dyDescent="0.15">
      <c r="A35" s="1125"/>
      <c r="B35" s="1132"/>
      <c r="C35" s="396" t="s">
        <v>56</v>
      </c>
      <c r="E35" s="403">
        <v>3.73E-2</v>
      </c>
      <c r="F35" s="403">
        <v>7.0597330000000236E-2</v>
      </c>
      <c r="G35" s="403">
        <v>0.15945690839000015</v>
      </c>
      <c r="H35" s="403">
        <v>0.23482160743535019</v>
      </c>
      <c r="I35" s="403">
        <v>0.29532786619968232</v>
      </c>
      <c r="J35" s="403">
        <v>0.34066434151667102</v>
      </c>
      <c r="K35" s="403">
        <v>0.38423593261596278</v>
      </c>
      <c r="L35" s="403">
        <v>0.42922360042598151</v>
      </c>
      <c r="M35" s="403">
        <v>0.47567336743982591</v>
      </c>
    </row>
    <row r="36" spans="1:13" ht="16" customHeight="1" x14ac:dyDescent="0.15">
      <c r="A36" s="1125"/>
      <c r="B36" s="1132"/>
      <c r="C36" s="396" t="s">
        <v>57</v>
      </c>
      <c r="E36" s="417" t="s">
        <v>58</v>
      </c>
      <c r="F36" s="417" t="s">
        <v>58</v>
      </c>
      <c r="G36" s="417" t="s">
        <v>58</v>
      </c>
      <c r="H36" s="403">
        <f>H34</f>
        <v>6.5000000000000002E-2</v>
      </c>
      <c r="I36" s="403">
        <f>(1+H36)*(1+I34)-1</f>
        <v>0.11718499999999987</v>
      </c>
      <c r="J36" s="403">
        <f t="shared" ref="J36:M36" si="2">(1+I36)*(1+J34)-1</f>
        <v>0.1562864749999997</v>
      </c>
      <c r="K36" s="403">
        <f t="shared" si="2"/>
        <v>0.19386578543749966</v>
      </c>
      <c r="L36" s="403">
        <f t="shared" si="2"/>
        <v>0.2326664234642184</v>
      </c>
      <c r="M36" s="403">
        <f t="shared" si="2"/>
        <v>0.27272808222680545</v>
      </c>
    </row>
    <row r="37" spans="1:13" ht="16" customHeight="1" x14ac:dyDescent="0.15">
      <c r="A37" s="1125"/>
      <c r="B37" s="1132"/>
      <c r="C37" s="396" t="s">
        <v>59</v>
      </c>
      <c r="E37" s="401">
        <f>E33/(1+E35)</f>
        <v>0.45234190749923386</v>
      </c>
      <c r="F37" s="401">
        <f t="shared" ref="F37:G37" si="3">F33/(1+F35)</f>
        <v>0.41215715319817436</v>
      </c>
      <c r="G37" s="401">
        <f t="shared" si="3"/>
        <v>0.38483457814423477</v>
      </c>
      <c r="H37" s="401">
        <f>AVERAGE($E$37:$G$37)</f>
        <v>0.41644454628054767</v>
      </c>
      <c r="I37" s="401">
        <f t="shared" ref="I37:M37" si="4">AVERAGE($E$37:$G$37)</f>
        <v>0.41644454628054767</v>
      </c>
      <c r="J37" s="401">
        <f t="shared" si="4"/>
        <v>0.41644454628054767</v>
      </c>
      <c r="K37" s="401">
        <f t="shared" si="4"/>
        <v>0.41644454628054767</v>
      </c>
      <c r="L37" s="401">
        <f t="shared" si="4"/>
        <v>0.41644454628054767</v>
      </c>
      <c r="M37" s="401">
        <f t="shared" si="4"/>
        <v>0.41644454628054767</v>
      </c>
    </row>
    <row r="38" spans="1:13" ht="16" customHeight="1" x14ac:dyDescent="0.15">
      <c r="A38" s="1125"/>
      <c r="B38" s="1132"/>
      <c r="C38" s="396" t="s">
        <v>60</v>
      </c>
      <c r="E38" s="411">
        <f>E30*E32</f>
        <v>15710.735341950001</v>
      </c>
      <c r="F38" s="411">
        <f>F30*F32</f>
        <v>6981.661313999999</v>
      </c>
      <c r="G38" s="411">
        <f>G30*G32</f>
        <v>9034.5731000000014</v>
      </c>
      <c r="H38" s="411">
        <f>H33*H25/1000</f>
        <v>14533.810117941153</v>
      </c>
      <c r="I38" s="411">
        <f>I33*I25/1000</f>
        <v>15592.544212373159</v>
      </c>
      <c r="J38" s="411">
        <f t="shared" ref="J38:M38" si="5">J33*J25/1000</f>
        <v>17159.684418406392</v>
      </c>
      <c r="K38" s="411">
        <f t="shared" si="5"/>
        <v>18388.007084939643</v>
      </c>
      <c r="L38" s="411">
        <f t="shared" si="5"/>
        <v>19524.072083859712</v>
      </c>
      <c r="M38" s="411">
        <f t="shared" si="5"/>
        <v>20735.046552808657</v>
      </c>
    </row>
    <row r="39" spans="1:13" ht="16" customHeight="1" x14ac:dyDescent="0.15">
      <c r="A39" s="1125"/>
      <c r="B39" s="1132"/>
      <c r="C39" s="932" t="s">
        <v>1295</v>
      </c>
      <c r="D39" s="932"/>
      <c r="E39" s="932"/>
      <c r="F39" s="933">
        <f t="shared" ref="F39:M39" si="6">F38/E38-1</f>
        <v>-0.55561206003146624</v>
      </c>
      <c r="G39" s="933">
        <f t="shared" si="6"/>
        <v>0.29404345093099749</v>
      </c>
      <c r="H39" s="933">
        <f t="shared" si="6"/>
        <v>0.60868808709303046</v>
      </c>
      <c r="I39" s="933">
        <f t="shared" si="6"/>
        <v>7.2846286406690997E-2</v>
      </c>
      <c r="J39" s="933">
        <f t="shared" si="6"/>
        <v>0.10050574073663099</v>
      </c>
      <c r="K39" s="933">
        <f t="shared" si="6"/>
        <v>7.1581891402133557E-2</v>
      </c>
      <c r="L39" s="933">
        <f t="shared" si="6"/>
        <v>6.178293241199273E-2</v>
      </c>
      <c r="M39" s="933">
        <f t="shared" si="6"/>
        <v>6.2024687460052963E-2</v>
      </c>
    </row>
    <row r="40" spans="1:13" ht="16" customHeight="1" x14ac:dyDescent="0.15">
      <c r="A40" s="1125"/>
      <c r="B40" s="1132"/>
      <c r="C40" s="925" t="s">
        <v>62</v>
      </c>
      <c r="D40" s="925">
        <f>(M38/E38)^(1/8)-1</f>
        <v>3.5293679782328446E-2</v>
      </c>
      <c r="F40" s="403"/>
      <c r="G40" s="403"/>
      <c r="H40" s="403"/>
      <c r="I40" s="403"/>
      <c r="J40" s="403"/>
      <c r="K40" s="403"/>
      <c r="L40" s="403"/>
      <c r="M40" s="403"/>
    </row>
    <row r="41" spans="1:13" ht="16" customHeight="1" thickBot="1" x14ac:dyDescent="0.2">
      <c r="A41" s="1125"/>
      <c r="B41" s="1133"/>
      <c r="C41" s="925" t="s">
        <v>34</v>
      </c>
      <c r="D41" s="925">
        <f>(M38/I38)^(1/5)-1</f>
        <v>5.8662686159460353E-2</v>
      </c>
    </row>
    <row r="42" spans="1:13" ht="16" customHeight="1" thickBot="1" x14ac:dyDescent="0.25">
      <c r="A42" s="1125"/>
      <c r="B42" s="419"/>
      <c r="C42" s="418"/>
      <c r="D42" s="418"/>
    </row>
    <row r="43" spans="1:13" ht="16" customHeight="1" x14ac:dyDescent="0.15">
      <c r="A43" s="1125"/>
      <c r="B43" s="1111" t="s">
        <v>63</v>
      </c>
      <c r="C43" s="1134" t="s">
        <v>64</v>
      </c>
      <c r="D43" s="1134"/>
      <c r="F43" s="403"/>
      <c r="G43" s="403"/>
    </row>
    <row r="44" spans="1:13" ht="26" customHeight="1" thickBot="1" x14ac:dyDescent="0.2">
      <c r="A44" s="1125"/>
      <c r="B44" s="1110"/>
      <c r="C44" s="396" t="s">
        <v>65</v>
      </c>
      <c r="F44" s="403"/>
      <c r="G44" s="403"/>
      <c r="H44" s="420">
        <f>1/Futures_provvisorio!B3</f>
        <v>5.3561863952865556</v>
      </c>
      <c r="I44" s="420">
        <f>1/AVERAGE(Futures_provvisorio!B4:B15)</f>
        <v>5.5437494225261013</v>
      </c>
      <c r="J44" s="420">
        <f>1/AVERAGE(Futures_provvisorio!B16:B27)</f>
        <v>5.9161387334532991</v>
      </c>
      <c r="K44" s="420">
        <f>1/AVERAGE(Futures_provvisorio!B28:B39)</f>
        <v>6.2904620868607957</v>
      </c>
      <c r="L44" s="420">
        <f>1/AVERAGE(Futures_provvisorio!B40:B51)</f>
        <v>6.6644451849383541</v>
      </c>
      <c r="M44" s="420">
        <f>1/AVERAGE(Futures_provvisorio!B52:B62)</f>
        <v>7.0226960768666009</v>
      </c>
    </row>
    <row r="45" spans="1:13" ht="16" customHeight="1" thickBot="1" x14ac:dyDescent="0.2">
      <c r="A45" s="1125"/>
      <c r="B45" s="413"/>
      <c r="F45" s="403"/>
      <c r="G45" s="403"/>
      <c r="H45" s="403"/>
      <c r="I45" s="403"/>
      <c r="J45" s="403"/>
      <c r="K45" s="403"/>
      <c r="L45" s="403"/>
      <c r="M45" s="403"/>
    </row>
    <row r="46" spans="1:13" ht="50" customHeight="1" thickBot="1" x14ac:dyDescent="0.2">
      <c r="A46" s="1125"/>
      <c r="B46" s="1123" t="s">
        <v>66</v>
      </c>
      <c r="C46" s="1139" t="s">
        <v>67</v>
      </c>
      <c r="D46" s="1140"/>
      <c r="E46" s="950"/>
      <c r="F46" s="950"/>
      <c r="G46" s="950"/>
      <c r="H46" s="951">
        <f>H38/H44</f>
        <v>2713.4623490196136</v>
      </c>
      <c r="I46" s="951">
        <f t="shared" ref="I46:M46" si="7">I38/I44</f>
        <v>2812.6351001752455</v>
      </c>
      <c r="J46" s="951">
        <f t="shared" si="7"/>
        <v>2900.4871575062175</v>
      </c>
      <c r="K46" s="951">
        <f t="shared" si="7"/>
        <v>2923.1568096320934</v>
      </c>
      <c r="L46" s="951">
        <f t="shared" si="7"/>
        <v>2929.5870161831494</v>
      </c>
      <c r="M46" s="951">
        <f t="shared" si="7"/>
        <v>2952.5763789083489</v>
      </c>
    </row>
    <row r="47" spans="1:13" ht="50" customHeight="1" thickTop="1" thickBot="1" x14ac:dyDescent="0.2">
      <c r="A47" s="1126"/>
      <c r="B47" s="1110"/>
      <c r="F47" s="403"/>
      <c r="G47" s="403"/>
      <c r="H47" s="403"/>
      <c r="I47" s="403"/>
      <c r="J47" s="403"/>
      <c r="K47" s="403"/>
      <c r="L47" s="403"/>
      <c r="M47" s="403"/>
    </row>
    <row r="48" spans="1:13" ht="16" customHeight="1" x14ac:dyDescent="0.15">
      <c r="B48" s="419"/>
      <c r="F48" s="403"/>
      <c r="G48" s="403"/>
      <c r="H48" s="403"/>
      <c r="I48" s="403"/>
      <c r="J48" s="403"/>
      <c r="K48" s="403"/>
      <c r="L48" s="403"/>
      <c r="M48" s="403"/>
    </row>
    <row r="49" spans="1:13" ht="86" customHeight="1" thickBot="1" x14ac:dyDescent="0.2">
      <c r="B49" s="419"/>
      <c r="F49" s="403"/>
      <c r="G49" s="403"/>
      <c r="H49" s="403"/>
      <c r="I49" s="403"/>
      <c r="J49" s="403"/>
      <c r="K49" s="403"/>
      <c r="L49" s="403"/>
      <c r="M49" s="403"/>
    </row>
    <row r="50" spans="1:13" ht="54" customHeight="1" x14ac:dyDescent="0.15">
      <c r="A50" s="1105" t="s">
        <v>68</v>
      </c>
      <c r="B50" s="1108" t="s">
        <v>69</v>
      </c>
      <c r="C50" s="1115" t="s">
        <v>70</v>
      </c>
      <c r="D50" s="1115"/>
      <c r="E50" s="881">
        <f>SSC_Mkt_Sh!K25</f>
        <v>58822802</v>
      </c>
      <c r="F50" s="881">
        <f>SSC_Mkt_Sh!L25</f>
        <v>21481765</v>
      </c>
      <c r="G50" s="881">
        <f>SSC_Mkt_Sh!M25</f>
        <v>41531109</v>
      </c>
      <c r="H50" s="881">
        <f>SSC_Mkt_Sh!N25</f>
        <v>61695849.997994058</v>
      </c>
      <c r="I50" s="881">
        <f>SSC_Mkt_Sh!O25</f>
        <v>65504039.642803125</v>
      </c>
      <c r="J50" s="881">
        <f>SSC_Mkt_Sh!P25</f>
        <v>73662984.403164417</v>
      </c>
      <c r="K50" s="881">
        <f>SSC_Mkt_Sh!Q25</f>
        <v>75470842.11364615</v>
      </c>
      <c r="L50" s="881">
        <f>SSC_Mkt_Sh!R25</f>
        <v>77323068.777244136</v>
      </c>
      <c r="M50" s="881">
        <f>SSC_Mkt_Sh!S25</f>
        <v>79220753.309301808</v>
      </c>
    </row>
    <row r="51" spans="1:13" ht="14" x14ac:dyDescent="0.15">
      <c r="A51" s="1106"/>
      <c r="B51" s="1109"/>
      <c r="C51" s="882" t="s">
        <v>30</v>
      </c>
      <c r="D51" s="883"/>
      <c r="E51" s="884"/>
      <c r="F51" s="885">
        <f>F50/E50-1</f>
        <v>-0.63480547900455342</v>
      </c>
      <c r="G51" s="885">
        <f t="shared" ref="G51" si="8">G50/F50-1</f>
        <v>0.93331921283004449</v>
      </c>
      <c r="H51" s="885">
        <f t="shared" ref="H51" si="9">H50/G50-1</f>
        <v>0.48553341058130806</v>
      </c>
      <c r="I51" s="885">
        <f t="shared" ref="I51" si="10">I50/H50-1</f>
        <v>6.1725215633351205E-2</v>
      </c>
      <c r="J51" s="885">
        <f t="shared" ref="J51" si="11">J50/I50-1</f>
        <v>0.12455636026193861</v>
      </c>
      <c r="K51" s="885">
        <f t="shared" ref="K51" si="12">K50/J50-1</f>
        <v>2.4542281651082076E-2</v>
      </c>
      <c r="L51" s="885">
        <f t="shared" ref="L51" si="13">L50/K50-1</f>
        <v>2.4542281651089182E-2</v>
      </c>
      <c r="M51" s="885">
        <f t="shared" ref="M51" si="14">M50/L50-1</f>
        <v>2.4542281651089182E-2</v>
      </c>
    </row>
    <row r="52" spans="1:13" x14ac:dyDescent="0.15">
      <c r="A52" s="1106"/>
      <c r="B52" s="1109"/>
      <c r="C52" s="886" t="s">
        <v>71</v>
      </c>
      <c r="D52" s="886"/>
      <c r="E52" s="886"/>
      <c r="F52" s="886"/>
      <c r="G52" s="887"/>
      <c r="H52" s="887">
        <v>0.01</v>
      </c>
      <c r="I52" s="887">
        <v>0.01</v>
      </c>
      <c r="J52" s="887">
        <v>0.01</v>
      </c>
      <c r="K52" s="887">
        <v>0.01</v>
      </c>
      <c r="L52" s="887">
        <v>0.01</v>
      </c>
      <c r="M52" s="887">
        <v>0.01</v>
      </c>
    </row>
    <row r="53" spans="1:13" x14ac:dyDescent="0.15">
      <c r="A53" s="1106"/>
      <c r="B53" s="1109"/>
      <c r="C53" s="886" t="s">
        <v>1294</v>
      </c>
      <c r="D53" s="897"/>
      <c r="E53" s="886"/>
      <c r="F53" s="886"/>
      <c r="G53" s="886"/>
      <c r="H53" s="886">
        <v>3.43</v>
      </c>
      <c r="I53" s="886">
        <v>3.1</v>
      </c>
      <c r="J53" s="886">
        <v>2.38</v>
      </c>
      <c r="K53" s="886">
        <v>2.38</v>
      </c>
      <c r="L53" s="886">
        <v>2.38</v>
      </c>
      <c r="M53" s="886">
        <f>L53</f>
        <v>2.38</v>
      </c>
    </row>
    <row r="54" spans="1:13" x14ac:dyDescent="0.15">
      <c r="A54" s="1106"/>
      <c r="B54" s="1109"/>
      <c r="C54" s="926" t="s">
        <v>34</v>
      </c>
      <c r="D54" s="927">
        <f>(M50/H50)^(1/5)-1</f>
        <v>5.1275644931383368E-2</v>
      </c>
      <c r="E54" s="886"/>
      <c r="F54" s="886"/>
      <c r="G54" s="886"/>
      <c r="H54" s="886"/>
      <c r="I54" s="886"/>
      <c r="J54" s="886"/>
      <c r="K54" s="886"/>
      <c r="L54" s="886"/>
      <c r="M54" s="886"/>
    </row>
    <row r="55" spans="1:13" x14ac:dyDescent="0.15">
      <c r="A55" s="1106"/>
      <c r="B55" s="1109"/>
      <c r="C55" s="926" t="s">
        <v>35</v>
      </c>
      <c r="D55" s="927">
        <f>4.1%</f>
        <v>4.0999999999999995E-2</v>
      </c>
      <c r="E55" s="886"/>
      <c r="F55" s="886"/>
      <c r="G55" s="886"/>
      <c r="H55" s="886"/>
      <c r="I55" s="886"/>
      <c r="J55" s="886"/>
      <c r="K55" s="886"/>
      <c r="L55" s="886"/>
      <c r="M55" s="886"/>
    </row>
    <row r="56" spans="1:13" x14ac:dyDescent="0.15">
      <c r="A56" s="1106"/>
      <c r="B56" s="1109"/>
      <c r="C56" s="926" t="s">
        <v>72</v>
      </c>
      <c r="D56" s="927">
        <f>(M50/E50)^(1/8)-1</f>
        <v>3.7914686968328226E-2</v>
      </c>
      <c r="E56" s="886"/>
      <c r="F56" s="886"/>
      <c r="G56" s="886"/>
      <c r="H56" s="886"/>
      <c r="I56" s="886"/>
      <c r="J56" s="886"/>
      <c r="K56" s="886"/>
      <c r="L56" s="886"/>
      <c r="M56" s="886"/>
    </row>
    <row r="57" spans="1:13" x14ac:dyDescent="0.15">
      <c r="A57" s="1106"/>
      <c r="B57" s="1109"/>
      <c r="C57" s="926" t="s">
        <v>37</v>
      </c>
      <c r="D57" s="928">
        <f>SSC_regression!K10</f>
        <v>0.98403154928784398</v>
      </c>
      <c r="E57" s="886"/>
      <c r="F57" s="886"/>
      <c r="G57" s="886"/>
      <c r="H57" s="886"/>
      <c r="I57" s="886"/>
      <c r="J57" s="886"/>
      <c r="K57" s="886"/>
      <c r="L57" s="886"/>
      <c r="M57" s="886"/>
    </row>
    <row r="58" spans="1:13" ht="14" thickBot="1" x14ac:dyDescent="0.2">
      <c r="A58" s="1106"/>
      <c r="B58" s="1110"/>
      <c r="C58" s="926" t="s">
        <v>38</v>
      </c>
      <c r="D58" s="934">
        <f>H50/E50</f>
        <v>1.048842419951264</v>
      </c>
      <c r="E58" s="886"/>
      <c r="F58" s="886"/>
      <c r="G58" s="886"/>
      <c r="H58" s="886"/>
      <c r="I58" s="886"/>
      <c r="J58" s="886"/>
      <c r="K58" s="886"/>
      <c r="L58" s="886"/>
      <c r="M58" s="886"/>
    </row>
    <row r="59" spans="1:13" ht="14" thickBot="1" x14ac:dyDescent="0.2">
      <c r="A59" s="1106"/>
      <c r="B59" s="886"/>
      <c r="C59" s="886"/>
      <c r="D59" s="886"/>
      <c r="E59" s="886"/>
      <c r="F59" s="886"/>
      <c r="G59" s="886"/>
      <c r="H59" s="886"/>
      <c r="I59" s="886"/>
      <c r="J59" s="886"/>
      <c r="K59" s="886"/>
      <c r="L59" s="886"/>
      <c r="M59" s="886"/>
    </row>
    <row r="60" spans="1:13" ht="41" customHeight="1" x14ac:dyDescent="0.15">
      <c r="A60" s="1106"/>
      <c r="B60" s="1111" t="s">
        <v>39</v>
      </c>
      <c r="C60" s="1116" t="s">
        <v>73</v>
      </c>
      <c r="D60" s="1116"/>
      <c r="E60" s="886"/>
      <c r="F60" s="886"/>
      <c r="G60" s="886"/>
      <c r="H60" s="886"/>
      <c r="I60" s="886"/>
      <c r="J60" s="886"/>
      <c r="K60" s="886"/>
      <c r="L60" s="886"/>
      <c r="M60" s="886"/>
    </row>
    <row r="61" spans="1:13" x14ac:dyDescent="0.15">
      <c r="A61" s="1106"/>
      <c r="B61" s="1109"/>
      <c r="C61" s="886"/>
      <c r="D61" s="886"/>
      <c r="E61" s="886"/>
      <c r="F61" s="886"/>
      <c r="G61" s="886"/>
      <c r="H61" s="886"/>
      <c r="I61" s="886"/>
      <c r="J61" s="886"/>
      <c r="K61" s="886"/>
      <c r="L61" s="886"/>
      <c r="M61" s="886"/>
    </row>
    <row r="62" spans="1:13" ht="16" thickBot="1" x14ac:dyDescent="0.25">
      <c r="A62" s="1106"/>
      <c r="B62" s="1109"/>
      <c r="C62" s="1141" t="s">
        <v>42</v>
      </c>
      <c r="D62" s="1142"/>
      <c r="E62" s="886"/>
      <c r="F62" s="886"/>
      <c r="G62" s="886"/>
      <c r="H62" s="886"/>
      <c r="I62" s="886"/>
      <c r="J62" s="886"/>
      <c r="K62" s="886"/>
      <c r="L62" s="886"/>
      <c r="M62" s="886"/>
    </row>
    <row r="63" spans="1:13" ht="13" customHeight="1" x14ac:dyDescent="0.15">
      <c r="A63" s="1106"/>
      <c r="B63" s="1109"/>
      <c r="C63" s="1146" t="str">
        <f>SSC_Mkt_Sh!A54</f>
        <v>LATAM</v>
      </c>
      <c r="D63" s="1147"/>
      <c r="E63" s="887">
        <f>SSC_Mkt_Sh!K54</f>
        <v>0.39640235091147136</v>
      </c>
      <c r="F63" s="887">
        <f>SSC_Mkt_Sh!L54</f>
        <v>0.41564545557592686</v>
      </c>
      <c r="G63" s="887">
        <f>SSC_Mkt_Sh!M54</f>
        <v>0.40412994991296763</v>
      </c>
      <c r="H63" s="887">
        <f>SSC_Mkt_Sh!N54</f>
        <v>0.38649271319717521</v>
      </c>
      <c r="I63" s="887">
        <f>SSC_Mkt_Sh!O54</f>
        <v>0.38438086883915912</v>
      </c>
      <c r="J63" s="887">
        <f>SSC_Mkt_Sh!P54</f>
        <v>0.38059135083539336</v>
      </c>
      <c r="K63" s="887">
        <f>SSC_Mkt_Sh!Q54</f>
        <v>0.37986255964264948</v>
      </c>
      <c r="L63" s="887">
        <f>SSC_Mkt_Sh!R54</f>
        <v>0.37915122619570801</v>
      </c>
      <c r="M63" s="887">
        <f>SSC_Mkt_Sh!S54</f>
        <v>0.3784569323049814</v>
      </c>
    </row>
    <row r="64" spans="1:13" ht="13" customHeight="1" x14ac:dyDescent="0.15">
      <c r="A64" s="1106"/>
      <c r="B64" s="1109"/>
      <c r="C64" s="1121" t="str">
        <f>SSC_Mkt_Sh!A55</f>
        <v>LOW COST CARRIERS</v>
      </c>
      <c r="D64" s="1122"/>
      <c r="E64" s="887">
        <f>SSC_Mkt_Sh!K55</f>
        <v>0.28651846608735165</v>
      </c>
      <c r="F64" s="887">
        <f>SSC_Mkt_Sh!L55</f>
        <v>0.34612011629398237</v>
      </c>
      <c r="G64" s="887">
        <f>SSC_Mkt_Sh!M55</f>
        <v>0.3466334115951491</v>
      </c>
      <c r="H64" s="887">
        <f>SSC_Mkt_Sh!N55</f>
        <v>0.40462054054499441</v>
      </c>
      <c r="I64" s="887">
        <f>SSC_Mkt_Sh!O55</f>
        <v>0.41156379322587677</v>
      </c>
      <c r="J64" s="887">
        <f>SSC_Mkt_Sh!P55</f>
        <v>0.42402284634644699</v>
      </c>
      <c r="K64" s="887">
        <f>SSC_Mkt_Sh!Q55</f>
        <v>0.4264189421494427</v>
      </c>
      <c r="L64" s="887">
        <f>SSC_Mkt_Sh!R55</f>
        <v>0.42875764094783197</v>
      </c>
      <c r="M64" s="887">
        <f>SSC_Mkt_Sh!S55</f>
        <v>0.43104031765163803</v>
      </c>
    </row>
    <row r="65" spans="1:13" ht="13" customHeight="1" x14ac:dyDescent="0.15">
      <c r="A65" s="1106"/>
      <c r="B65" s="1109"/>
      <c r="C65" s="1121" t="str">
        <f>SSC_Mkt_Sh!A56</f>
        <v>AVIANCA</v>
      </c>
      <c r="D65" s="1122"/>
      <c r="E65" s="887">
        <f>SSC_Mkt_Sh!K56</f>
        <v>0.26203778935930322</v>
      </c>
      <c r="F65" s="887">
        <f>SSC_Mkt_Sh!L56</f>
        <v>0.20381193072356951</v>
      </c>
      <c r="G65" s="887">
        <f>SSC_Mkt_Sh!M56</f>
        <v>0.21940639726235098</v>
      </c>
      <c r="H65" s="887">
        <f>SSC_Mkt_Sh!N56</f>
        <v>0.1670770277127834</v>
      </c>
      <c r="I65" s="887">
        <f>SSC_Mkt_Sh!O56</f>
        <v>0.16081122283514965</v>
      </c>
      <c r="J65" s="887">
        <f>SSC_Mkt_Sh!P56</f>
        <v>0.1495677899080268</v>
      </c>
      <c r="K65" s="887">
        <f>SSC_Mkt_Sh!Q56</f>
        <v>0.1474054793225246</v>
      </c>
      <c r="L65" s="887">
        <f>SSC_Mkt_Sh!R56</f>
        <v>0.14529496556020513</v>
      </c>
      <c r="M65" s="887">
        <f>SSC_Mkt_Sh!S56</f>
        <v>0.14323500785995455</v>
      </c>
    </row>
    <row r="66" spans="1:13" ht="13" customHeight="1" x14ac:dyDescent="0.15">
      <c r="A66" s="1106"/>
      <c r="B66" s="1109"/>
      <c r="C66" s="1121" t="str">
        <f>SSC_Mkt_Sh!A57</f>
        <v>OTHERS</v>
      </c>
      <c r="D66" s="1122"/>
      <c r="E66" s="887">
        <f>SSC_Mkt_Sh!K57</f>
        <v>5.5041393641873777E-2</v>
      </c>
      <c r="F66" s="887">
        <f>SSC_Mkt_Sh!L57</f>
        <v>3.4422497406521299E-2</v>
      </c>
      <c r="G66" s="887">
        <f>SSC_Mkt_Sh!M57</f>
        <v>2.98302412295323E-2</v>
      </c>
      <c r="H66" s="887">
        <f>SSC_Mkt_Sh!N57</f>
        <v>4.1809718545046878E-2</v>
      </c>
      <c r="I66" s="887">
        <f>SSC_Mkt_Sh!O57</f>
        <v>4.3244115099814365E-2</v>
      </c>
      <c r="J66" s="887">
        <f>SSC_Mkt_Sh!P57</f>
        <v>4.5818012910132835E-2</v>
      </c>
      <c r="K66" s="887">
        <f>SSC_Mkt_Sh!Q57</f>
        <v>4.6313018885383202E-2</v>
      </c>
      <c r="L66" s="887">
        <f>SSC_Mkt_Sh!R57</f>
        <v>4.6796167296254819E-2</v>
      </c>
      <c r="M66" s="887">
        <f>SSC_Mkt_Sh!S57</f>
        <v>4.7267742183425908E-2</v>
      </c>
    </row>
    <row r="67" spans="1:13" x14ac:dyDescent="0.15">
      <c r="A67" s="1106"/>
      <c r="B67" s="1109"/>
      <c r="C67" s="886"/>
      <c r="D67" s="886"/>
      <c r="E67" s="886"/>
      <c r="F67" s="886"/>
      <c r="G67" s="886"/>
      <c r="H67" s="886"/>
      <c r="I67" s="886"/>
      <c r="J67" s="886"/>
      <c r="K67" s="886"/>
      <c r="L67" s="886"/>
      <c r="M67" s="886"/>
    </row>
    <row r="68" spans="1:13" ht="15" x14ac:dyDescent="0.2">
      <c r="A68" s="1106"/>
      <c r="B68" s="1109"/>
      <c r="C68" s="886" t="s">
        <v>74</v>
      </c>
      <c r="D68" s="898"/>
      <c r="E68" s="891">
        <f>SSC_Mkt_Sh!K29</f>
        <v>23317497</v>
      </c>
      <c r="F68" s="891">
        <f>SSC_Mkt_Sh!L29</f>
        <v>8928798</v>
      </c>
      <c r="G68" s="891">
        <f>SSC_Mkt_Sh!M29</f>
        <v>16783965</v>
      </c>
      <c r="H68" s="891">
        <f>H63*H50</f>
        <v>23844996.45873066</v>
      </c>
      <c r="I68" s="891">
        <f t="shared" ref="I68:M68" si="15">I63*I50</f>
        <v>25178499.670375388</v>
      </c>
      <c r="J68" s="891">
        <f t="shared" si="15"/>
        <v>28035494.740566857</v>
      </c>
      <c r="K68" s="891">
        <f t="shared" si="15"/>
        <v>28668547.263675891</v>
      </c>
      <c r="L68" s="891">
        <f t="shared" si="15"/>
        <v>29317136.34010718</v>
      </c>
      <c r="M68" s="891">
        <f t="shared" si="15"/>
        <v>29981643.272328064</v>
      </c>
    </row>
    <row r="69" spans="1:13" x14ac:dyDescent="0.15">
      <c r="A69" s="1106"/>
      <c r="B69" s="1109"/>
      <c r="C69" s="941" t="s">
        <v>47</v>
      </c>
      <c r="D69" s="942">
        <f>H68/E68</f>
        <v>1.0226224735326721</v>
      </c>
      <c r="E69" s="886"/>
      <c r="F69" s="886"/>
      <c r="G69" s="886"/>
      <c r="H69" s="886"/>
      <c r="I69" s="886"/>
      <c r="J69" s="886"/>
      <c r="K69" s="886"/>
      <c r="L69" s="886"/>
      <c r="M69" s="886"/>
    </row>
    <row r="70" spans="1:13" ht="14" thickBot="1" x14ac:dyDescent="0.2">
      <c r="A70" s="1106"/>
      <c r="B70" s="1110"/>
      <c r="C70" s="886"/>
      <c r="D70" s="886"/>
      <c r="E70" s="886"/>
      <c r="F70" s="886"/>
      <c r="G70" s="886"/>
      <c r="H70" s="886"/>
      <c r="I70" s="886"/>
      <c r="J70" s="886"/>
      <c r="K70" s="886"/>
      <c r="L70" s="886"/>
      <c r="M70" s="886"/>
    </row>
    <row r="71" spans="1:13" ht="14" thickBot="1" x14ac:dyDescent="0.2">
      <c r="A71" s="1106"/>
      <c r="B71" s="886"/>
      <c r="C71" s="886"/>
      <c r="D71" s="886"/>
      <c r="E71" s="886"/>
      <c r="F71" s="886"/>
      <c r="G71" s="886"/>
      <c r="H71" s="886"/>
      <c r="I71" s="886"/>
      <c r="J71" s="886"/>
      <c r="K71" s="886"/>
      <c r="L71" s="886"/>
      <c r="M71" s="886"/>
    </row>
    <row r="72" spans="1:13" ht="16" customHeight="1" x14ac:dyDescent="0.2">
      <c r="A72" s="1106"/>
      <c r="B72" s="1111" t="s">
        <v>75</v>
      </c>
      <c r="C72" s="886" t="s">
        <v>76</v>
      </c>
      <c r="D72" s="886"/>
      <c r="E72" s="886">
        <v>802</v>
      </c>
      <c r="F72" s="886">
        <v>297.5</v>
      </c>
      <c r="G72" s="886">
        <v>503.6</v>
      </c>
      <c r="H72" s="899"/>
      <c r="I72" s="899"/>
      <c r="J72" s="899"/>
      <c r="K72" s="899"/>
      <c r="L72" s="899"/>
      <c r="M72" s="899"/>
    </row>
    <row r="73" spans="1:13" x14ac:dyDescent="0.15">
      <c r="A73" s="1106"/>
      <c r="B73" s="1109"/>
      <c r="C73" s="886" t="s">
        <v>77</v>
      </c>
      <c r="D73" s="886"/>
      <c r="E73" s="886">
        <v>380.4</v>
      </c>
      <c r="F73" s="886">
        <v>177</v>
      </c>
      <c r="G73" s="886">
        <v>368.5</v>
      </c>
      <c r="H73" s="886"/>
      <c r="I73" s="886"/>
      <c r="J73" s="886"/>
      <c r="K73" s="886"/>
      <c r="L73" s="886"/>
      <c r="M73" s="886"/>
    </row>
    <row r="74" spans="1:13" x14ac:dyDescent="0.15">
      <c r="A74" s="1106"/>
      <c r="B74" s="1109"/>
      <c r="C74" s="886" t="s">
        <v>78</v>
      </c>
      <c r="D74" s="886"/>
      <c r="E74" s="886">
        <v>203.3</v>
      </c>
      <c r="F74" s="886">
        <v>112.6</v>
      </c>
      <c r="G74" s="886">
        <v>163</v>
      </c>
      <c r="H74" s="886"/>
      <c r="I74" s="886"/>
      <c r="J74" s="886"/>
      <c r="K74" s="886"/>
      <c r="L74" s="886"/>
      <c r="M74" s="886"/>
    </row>
    <row r="75" spans="1:13" x14ac:dyDescent="0.15">
      <c r="A75" s="1106"/>
      <c r="B75" s="1109"/>
      <c r="C75" s="886" t="s">
        <v>79</v>
      </c>
      <c r="D75" s="886"/>
      <c r="E75" s="886">
        <v>1547</v>
      </c>
      <c r="F75" s="886">
        <v>638.20000000000005</v>
      </c>
      <c r="G75" s="886">
        <v>794.1</v>
      </c>
      <c r="H75" s="886"/>
      <c r="I75" s="886"/>
      <c r="J75" s="886"/>
      <c r="K75" s="886"/>
      <c r="L75" s="886"/>
      <c r="M75" s="886"/>
    </row>
    <row r="76" spans="1:13" ht="14" x14ac:dyDescent="0.2">
      <c r="A76" s="1106"/>
      <c r="B76" s="1109"/>
      <c r="C76" s="878" t="s">
        <v>80</v>
      </c>
      <c r="D76" s="878"/>
      <c r="E76" s="878">
        <f>SUM(E72:E75)</f>
        <v>2932.7</v>
      </c>
      <c r="F76" s="878">
        <f t="shared" ref="F76" si="16">SUM(F72:F75)</f>
        <v>1225.3000000000002</v>
      </c>
      <c r="G76" s="878">
        <f>SUM(G72:G75)</f>
        <v>1829.1999999999998</v>
      </c>
      <c r="H76" s="886"/>
      <c r="I76" s="886"/>
      <c r="J76" s="886"/>
      <c r="K76" s="886"/>
      <c r="L76" s="886"/>
      <c r="M76" s="886"/>
    </row>
    <row r="77" spans="1:13" x14ac:dyDescent="0.15">
      <c r="A77" s="1106"/>
      <c r="B77" s="1109"/>
      <c r="C77" s="886"/>
      <c r="D77" s="886"/>
      <c r="E77" s="886"/>
      <c r="F77" s="886"/>
      <c r="G77" s="886"/>
      <c r="H77" s="886"/>
      <c r="I77" s="886"/>
      <c r="J77" s="886"/>
      <c r="K77" s="886"/>
      <c r="L77" s="886"/>
      <c r="M77" s="886"/>
    </row>
    <row r="78" spans="1:13" x14ac:dyDescent="0.15">
      <c r="A78" s="1106"/>
      <c r="B78" s="1109"/>
      <c r="C78" s="886"/>
      <c r="D78" s="886"/>
      <c r="E78" s="886"/>
      <c r="F78" s="886"/>
      <c r="G78" s="886"/>
      <c r="H78" s="886"/>
      <c r="I78" s="886"/>
      <c r="J78" s="886"/>
      <c r="K78" s="886"/>
      <c r="L78" s="886"/>
      <c r="M78" s="886"/>
    </row>
    <row r="79" spans="1:13" x14ac:dyDescent="0.15">
      <c r="A79" s="1106"/>
      <c r="B79" s="1109"/>
      <c r="C79" s="886" t="s">
        <v>81</v>
      </c>
      <c r="D79" s="886"/>
      <c r="E79" s="900">
        <f>E76*10^6/E68</f>
        <v>125.77250465605292</v>
      </c>
      <c r="F79" s="900">
        <f>F76*10^6/F68</f>
        <v>137.23011764853459</v>
      </c>
      <c r="G79" s="900">
        <f t="shared" ref="G79" si="17">G76*10^6/G68</f>
        <v>108.98497464693234</v>
      </c>
      <c r="H79" s="900">
        <f>I79/(1+H80)</f>
        <v>119.72631444452249</v>
      </c>
      <c r="I79" s="900">
        <f t="shared" ref="I79:K79" si="18">J79/(1+I80)</f>
        <v>128.92129539386181</v>
      </c>
      <c r="J79" s="900">
        <f>K79/(1+J80)</f>
        <v>132.60844444212626</v>
      </c>
      <c r="K79" s="900">
        <f t="shared" si="18"/>
        <v>135.6053952865183</v>
      </c>
      <c r="L79" s="900">
        <f>M79/(1+L80)</f>
        <v>138.31750319224867</v>
      </c>
      <c r="M79" s="900">
        <f>AVERAGE(E79,G79)*(1+M81)</f>
        <v>141.08385325609365</v>
      </c>
    </row>
    <row r="80" spans="1:13" x14ac:dyDescent="0.15">
      <c r="A80" s="1106"/>
      <c r="B80" s="1109"/>
      <c r="C80" s="886" t="s">
        <v>82</v>
      </c>
      <c r="D80" s="886"/>
      <c r="E80" s="900"/>
      <c r="F80" s="900"/>
      <c r="G80" s="900"/>
      <c r="H80" s="900">
        <v>7.6799999999999993E-2</v>
      </c>
      <c r="I80" s="900">
        <v>2.86E-2</v>
      </c>
      <c r="J80" s="900">
        <v>2.2599999999999999E-2</v>
      </c>
      <c r="K80" s="900">
        <v>0.02</v>
      </c>
      <c r="L80" s="900">
        <v>0.02</v>
      </c>
      <c r="M80" s="900">
        <v>0.02</v>
      </c>
    </row>
    <row r="81" spans="1:13" x14ac:dyDescent="0.15">
      <c r="A81" s="1106"/>
      <c r="B81" s="1109"/>
      <c r="C81" s="886" t="s">
        <v>83</v>
      </c>
      <c r="D81" s="886"/>
      <c r="E81" s="900"/>
      <c r="F81" s="900"/>
      <c r="G81" s="900"/>
      <c r="H81" s="900">
        <f>H80</f>
        <v>7.6799999999999993E-2</v>
      </c>
      <c r="I81" s="900">
        <f>(1+H81)*(1+I80)-1</f>
        <v>0.10759647999999999</v>
      </c>
      <c r="J81" s="900">
        <f t="shared" ref="J81:M81" si="19">(1+I81)*(1+J80)-1</f>
        <v>0.13262816044799997</v>
      </c>
      <c r="K81" s="900">
        <f t="shared" si="19"/>
        <v>0.15528072365696</v>
      </c>
      <c r="L81" s="900">
        <f t="shared" si="19"/>
        <v>0.17838633813009919</v>
      </c>
      <c r="M81" s="900">
        <f t="shared" si="19"/>
        <v>0.20195406489270118</v>
      </c>
    </row>
    <row r="82" spans="1:13" ht="14" thickBot="1" x14ac:dyDescent="0.2">
      <c r="A82" s="1106"/>
      <c r="B82" s="1110"/>
      <c r="C82" s="886" t="s">
        <v>84</v>
      </c>
      <c r="D82" s="886"/>
      <c r="E82" s="901" t="s">
        <v>58</v>
      </c>
      <c r="F82" s="901" t="s">
        <v>58</v>
      </c>
      <c r="G82" s="901" t="s">
        <v>58</v>
      </c>
      <c r="H82" s="900">
        <f>AVERAGE($E$79:$G$79)</f>
        <v>123.99586565050662</v>
      </c>
      <c r="I82" s="900">
        <f t="shared" ref="I82:L82" si="20">AVERAGE($E$79:$G$79)</f>
        <v>123.99586565050662</v>
      </c>
      <c r="J82" s="900">
        <f t="shared" si="20"/>
        <v>123.99586565050662</v>
      </c>
      <c r="K82" s="900">
        <f t="shared" si="20"/>
        <v>123.99586565050662</v>
      </c>
      <c r="L82" s="900">
        <f t="shared" si="20"/>
        <v>123.99586565050662</v>
      </c>
      <c r="M82" s="900">
        <f>AVERAGE($E$79:$G$79)</f>
        <v>123.99586565050662</v>
      </c>
    </row>
    <row r="83" spans="1:13" ht="14" thickBot="1" x14ac:dyDescent="0.2">
      <c r="A83" s="1106"/>
      <c r="B83" s="886"/>
      <c r="C83" s="886"/>
      <c r="D83" s="886"/>
      <c r="E83" s="900"/>
      <c r="F83" s="900"/>
      <c r="G83" s="900"/>
      <c r="H83" s="900"/>
      <c r="I83" s="900"/>
      <c r="J83" s="900"/>
      <c r="K83" s="900"/>
      <c r="L83" s="900"/>
      <c r="M83" s="900"/>
    </row>
    <row r="84" spans="1:13" ht="34" customHeight="1" thickBot="1" x14ac:dyDescent="0.2">
      <c r="A84" s="1106"/>
      <c r="B84" s="1117" t="s">
        <v>85</v>
      </c>
      <c r="C84" s="1112" t="s">
        <v>86</v>
      </c>
      <c r="D84" s="1113"/>
      <c r="E84" s="949">
        <f>E68*E79/1000000</f>
        <v>2932.7</v>
      </c>
      <c r="F84" s="949">
        <f>F68*F79/1000000</f>
        <v>1225.3000000000002</v>
      </c>
      <c r="G84" s="949">
        <f>G68*G79/1000000</f>
        <v>1829.1999999999998</v>
      </c>
      <c r="H84" s="949">
        <f>H68*H79/1000000</f>
        <v>2854.8735439465122</v>
      </c>
      <c r="I84" s="949">
        <f t="shared" ref="I84:L84" si="21">I68*I79/1000000</f>
        <v>3246.0447935787179</v>
      </c>
      <c r="J84" s="949">
        <f t="shared" si="21"/>
        <v>3717.7433467119827</v>
      </c>
      <c r="K84" s="949">
        <f t="shared" si="21"/>
        <v>3887.609683981002</v>
      </c>
      <c r="L84" s="949">
        <f t="shared" si="21"/>
        <v>4055.0730993103643</v>
      </c>
      <c r="M84" s="949">
        <f>M68*M79/1000000</f>
        <v>4229.9257598096801</v>
      </c>
    </row>
    <row r="85" spans="1:13" ht="14" thickTop="1" x14ac:dyDescent="0.15">
      <c r="A85" s="1106"/>
      <c r="B85" s="1118"/>
      <c r="C85" s="926" t="s">
        <v>87</v>
      </c>
      <c r="D85" s="934">
        <f>(M84/H84)^(1/5)-1</f>
        <v>8.1805471859308421E-2</v>
      </c>
      <c r="E85" s="891"/>
      <c r="F85" s="891"/>
      <c r="G85" s="891"/>
      <c r="H85" s="891"/>
      <c r="I85" s="891"/>
      <c r="J85" s="891"/>
      <c r="K85" s="891"/>
      <c r="L85" s="891"/>
      <c r="M85" s="891"/>
    </row>
    <row r="86" spans="1:13" ht="14" thickBot="1" x14ac:dyDescent="0.2">
      <c r="A86" s="1107"/>
      <c r="B86" s="1120"/>
      <c r="C86" s="935" t="s">
        <v>88</v>
      </c>
      <c r="D86" s="936">
        <f>(M84/E84)^(1/8)-1</f>
        <v>4.6846820253602983E-2</v>
      </c>
      <c r="E86" s="903"/>
      <c r="F86" s="903"/>
      <c r="G86" s="903"/>
      <c r="H86" s="903"/>
      <c r="I86" s="903"/>
      <c r="J86" s="903"/>
      <c r="K86" s="903"/>
      <c r="L86" s="903"/>
      <c r="M86" s="903"/>
    </row>
    <row r="87" spans="1:13" ht="70" customHeight="1" thickBot="1" x14ac:dyDescent="0.2"/>
    <row r="88" spans="1:13" ht="55" customHeight="1" x14ac:dyDescent="0.15">
      <c r="A88" s="1156" t="s">
        <v>89</v>
      </c>
      <c r="B88" s="1108" t="s">
        <v>90</v>
      </c>
      <c r="C88" s="1115" t="s">
        <v>91</v>
      </c>
      <c r="D88" s="1115"/>
      <c r="E88" s="881">
        <f>Int_Mkt_Sh!T14</f>
        <v>63150964</v>
      </c>
      <c r="F88" s="881">
        <f>Int_Mkt_Sh!U14</f>
        <v>17018290</v>
      </c>
      <c r="G88" s="881">
        <f>Int_Mkt_Sh!V14</f>
        <v>18479699</v>
      </c>
      <c r="H88" s="881">
        <f>Int_Mkt_Sh!W14</f>
        <v>24639598.666666668</v>
      </c>
      <c r="I88" s="881">
        <f>Int_Mkt_Sh!X14</f>
        <v>47363223</v>
      </c>
      <c r="J88" s="881">
        <f>Int_Mkt_Sh!Y14</f>
        <v>63150964</v>
      </c>
      <c r="K88" s="881">
        <f>Int_Mkt_Sh!Z14</f>
        <v>67800750.425779402</v>
      </c>
      <c r="L88" s="881">
        <f>Int_Mkt_Sh!AA14</f>
        <v>72792899.223182485</v>
      </c>
      <c r="M88" s="881">
        <f>Int_Mkt_Sh!AB14</f>
        <v>78152618.430336326</v>
      </c>
    </row>
    <row r="89" spans="1:13" ht="16" customHeight="1" x14ac:dyDescent="0.15">
      <c r="A89" s="1157"/>
      <c r="B89" s="1109"/>
      <c r="C89" s="937" t="s">
        <v>30</v>
      </c>
      <c r="D89" s="938"/>
      <c r="E89" s="939"/>
      <c r="F89" s="940">
        <f>F88/E88-1</f>
        <v>-0.73051416918987966</v>
      </c>
      <c r="G89" s="940">
        <f t="shared" ref="G89" si="22">G88/F88-1</f>
        <v>8.587284621427882E-2</v>
      </c>
      <c r="H89" s="940">
        <f t="shared" ref="H89" si="23">H88/G88-1</f>
        <v>0.33333333333333348</v>
      </c>
      <c r="I89" s="940">
        <f t="shared" ref="I89" si="24">I88/H88-1</f>
        <v>0.92224003486203965</v>
      </c>
      <c r="J89" s="940">
        <f t="shared" ref="J89" si="25">J88/I88-1</f>
        <v>0.33333333333333326</v>
      </c>
      <c r="K89" s="940">
        <f t="shared" ref="K89" si="26">K88/J88-1</f>
        <v>7.3629698285831324E-2</v>
      </c>
      <c r="L89" s="940">
        <f t="shared" ref="L89" si="27">L88/K88-1</f>
        <v>7.3629698285831324E-2</v>
      </c>
      <c r="M89" s="940">
        <f t="shared" ref="M89" si="28">M88/L88-1</f>
        <v>7.3629698285831102E-2</v>
      </c>
    </row>
    <row r="90" spans="1:13" ht="16" customHeight="1" x14ac:dyDescent="0.15">
      <c r="A90" s="1157"/>
      <c r="B90" s="1109"/>
      <c r="C90" s="926" t="s">
        <v>34</v>
      </c>
      <c r="D90" s="927">
        <f>(M88/H88)^(1/5)-1</f>
        <v>0.25968506608259201</v>
      </c>
      <c r="E90" s="886"/>
      <c r="F90" s="886"/>
      <c r="G90" s="886"/>
      <c r="H90" s="886"/>
      <c r="I90" s="886"/>
      <c r="J90" s="886"/>
      <c r="K90" s="886"/>
      <c r="L90" s="886"/>
      <c r="M90" s="886"/>
    </row>
    <row r="91" spans="1:13" ht="16" customHeight="1" x14ac:dyDescent="0.15">
      <c r="A91" s="1157"/>
      <c r="B91" s="1109"/>
      <c r="C91" s="926" t="s">
        <v>35</v>
      </c>
      <c r="D91" s="927">
        <f>4.1%</f>
        <v>4.0999999999999995E-2</v>
      </c>
      <c r="E91" s="886"/>
      <c r="F91" s="886"/>
      <c r="G91" s="886"/>
      <c r="H91" s="886"/>
      <c r="I91" s="886"/>
      <c r="J91" s="886"/>
      <c r="K91" s="886"/>
      <c r="L91" s="886"/>
      <c r="M91" s="886"/>
    </row>
    <row r="92" spans="1:13" ht="16" customHeight="1" x14ac:dyDescent="0.15">
      <c r="A92" s="1157"/>
      <c r="B92" s="1109"/>
      <c r="C92" s="926" t="s">
        <v>72</v>
      </c>
      <c r="D92" s="927">
        <f>(M88/E88)^(1/8)-1</f>
        <v>2.6999999999999913E-2</v>
      </c>
      <c r="E92" s="886"/>
      <c r="F92" s="886"/>
      <c r="G92" s="886"/>
      <c r="H92" s="886"/>
      <c r="I92" s="886"/>
      <c r="J92" s="886"/>
      <c r="K92" s="886"/>
      <c r="L92" s="886"/>
      <c r="M92" s="886"/>
    </row>
    <row r="93" spans="1:13" ht="16" customHeight="1" x14ac:dyDescent="0.15">
      <c r="A93" s="1157"/>
      <c r="B93" s="1109"/>
      <c r="C93" s="926"/>
      <c r="D93" s="928"/>
      <c r="E93" s="886"/>
      <c r="F93" s="886"/>
      <c r="G93" s="886"/>
      <c r="H93" s="886"/>
      <c r="I93" s="886"/>
      <c r="J93" s="886"/>
      <c r="K93" s="886"/>
      <c r="L93" s="886"/>
      <c r="M93" s="886"/>
    </row>
    <row r="94" spans="1:13" ht="17" thickBot="1" x14ac:dyDescent="0.25">
      <c r="A94" s="1157"/>
      <c r="B94" s="1110"/>
      <c r="C94" s="926" t="s">
        <v>38</v>
      </c>
      <c r="D94" s="934">
        <f>H88/E88</f>
        <v>0.39016979482160663</v>
      </c>
      <c r="E94" s="889"/>
      <c r="F94" s="889"/>
      <c r="G94" s="889"/>
      <c r="H94" s="889"/>
      <c r="I94" s="889"/>
      <c r="J94" s="889"/>
      <c r="K94" s="886"/>
      <c r="L94" s="886"/>
      <c r="M94" s="886"/>
    </row>
    <row r="95" spans="1:13" ht="17" thickBot="1" x14ac:dyDescent="0.25">
      <c r="A95" s="1157"/>
      <c r="B95" s="890"/>
      <c r="C95" s="889"/>
      <c r="D95" s="889"/>
      <c r="E95" s="889"/>
      <c r="F95" s="889"/>
      <c r="G95" s="889"/>
      <c r="H95" s="889"/>
      <c r="I95" s="889"/>
      <c r="J95" s="889"/>
      <c r="K95" s="886"/>
      <c r="L95" s="886"/>
      <c r="M95" s="886"/>
    </row>
    <row r="96" spans="1:13" ht="58" customHeight="1" x14ac:dyDescent="0.2">
      <c r="A96" s="1157"/>
      <c r="B96" s="1111" t="s">
        <v>92</v>
      </c>
      <c r="C96" s="1116" t="s">
        <v>1292</v>
      </c>
      <c r="D96" s="1116"/>
      <c r="E96" s="891"/>
      <c r="F96" s="891"/>
      <c r="G96" s="891"/>
      <c r="H96" s="891"/>
      <c r="I96" s="891"/>
      <c r="J96" s="889"/>
      <c r="K96" s="886"/>
      <c r="L96" s="886"/>
      <c r="M96" s="886"/>
    </row>
    <row r="97" spans="1:13" ht="17" thickBot="1" x14ac:dyDescent="0.25">
      <c r="A97" s="1157"/>
      <c r="B97" s="1109"/>
      <c r="C97" s="1144" t="s">
        <v>42</v>
      </c>
      <c r="D97" s="1145"/>
      <c r="E97" s="947"/>
      <c r="F97" s="902"/>
      <c r="G97" s="902"/>
      <c r="H97" s="902"/>
      <c r="I97" s="902"/>
      <c r="J97" s="948"/>
      <c r="K97" s="896"/>
      <c r="L97" s="896"/>
      <c r="M97" s="896"/>
    </row>
    <row r="98" spans="1:13" ht="13" customHeight="1" x14ac:dyDescent="0.15">
      <c r="A98" s="1157"/>
      <c r="B98" s="1109"/>
      <c r="C98" s="1146" t="s">
        <v>94</v>
      </c>
      <c r="D98" s="1147"/>
      <c r="E98" s="888">
        <f>Int_Mkt_Sh!C5</f>
        <v>0.30845617811946624</v>
      </c>
      <c r="F98" s="888">
        <f>Int_Mkt_Sh!D5</f>
        <v>0.29432915998023301</v>
      </c>
      <c r="G98" s="888">
        <f>Int_Mkt_Sh!E5</f>
        <v>0.20521513905610694</v>
      </c>
      <c r="H98" s="888">
        <f>Int_Mkt_Sh!F5</f>
        <v>0.20524769722968506</v>
      </c>
      <c r="I98" s="888">
        <f>Int_Mkt_Sh!G5</f>
        <v>0.27524769722968506</v>
      </c>
      <c r="J98" s="888">
        <f>Int_Mkt_Sh!H5</f>
        <v>0.30524769722968503</v>
      </c>
      <c r="K98" s="888">
        <f>Int_Mkt_Sh!I5</f>
        <v>0.30524769722968503</v>
      </c>
      <c r="L98" s="888">
        <f>Int_Mkt_Sh!J5</f>
        <v>0.30524769722968503</v>
      </c>
      <c r="M98" s="888">
        <f>Int_Mkt_Sh!K5</f>
        <v>0.30524769722968503</v>
      </c>
    </row>
    <row r="99" spans="1:13" ht="13" customHeight="1" x14ac:dyDescent="0.15">
      <c r="A99" s="1157"/>
      <c r="B99" s="1109"/>
      <c r="C99" s="1121" t="str">
        <f>Int_Mkt_Sh!A8</f>
        <v>Abra group</v>
      </c>
      <c r="D99" s="1122"/>
      <c r="E99" s="888">
        <f>Int_Mkt_Sh!C8</f>
        <v>0.17050955865060111</v>
      </c>
      <c r="F99" s="888">
        <f>Int_Mkt_Sh!D8</f>
        <v>0.14956502680351552</v>
      </c>
      <c r="G99" s="888">
        <f>Int_Mkt_Sh!E8</f>
        <v>0.14894479612465553</v>
      </c>
      <c r="H99" s="888">
        <f>Int_Mkt_Sh!F8</f>
        <v>0.28272308733848489</v>
      </c>
      <c r="I99" s="888">
        <f>Int_Mkt_Sh!G8</f>
        <v>0.25272308733848492</v>
      </c>
      <c r="J99" s="888">
        <f>Int_Mkt_Sh!H8</f>
        <v>0.24272308733848491</v>
      </c>
      <c r="K99" s="888">
        <f>Int_Mkt_Sh!I8</f>
        <v>0.25272308733848492</v>
      </c>
      <c r="L99" s="888">
        <f>Int_Mkt_Sh!J8</f>
        <v>0.28272308733848495</v>
      </c>
      <c r="M99" s="888">
        <f>Int_Mkt_Sh!K8</f>
        <v>0.29272308733848496</v>
      </c>
    </row>
    <row r="100" spans="1:13" x14ac:dyDescent="0.15">
      <c r="A100" s="1157"/>
      <c r="B100" s="1109"/>
      <c r="C100" s="1121" t="str">
        <f>Int_Mkt_Sh!A11</f>
        <v>Copa Holdings</v>
      </c>
      <c r="D100" s="1122"/>
      <c r="E100" s="888">
        <f>Int_Mkt_Sh!C11</f>
        <v>3.6601547365136024E-2</v>
      </c>
      <c r="F100" s="888">
        <f>Int_Mkt_Sh!D11</f>
        <v>4.3024534192330724E-2</v>
      </c>
      <c r="G100" s="888">
        <f>Int_Mkt_Sh!E11</f>
        <v>0.12499781517004147</v>
      </c>
      <c r="H100" s="888">
        <f>Int_Mkt_Sh!F11</f>
        <v>0.10086713549558274</v>
      </c>
      <c r="I100" s="888">
        <f>Int_Mkt_Sh!G11</f>
        <v>9.0867135495582743E-2</v>
      </c>
      <c r="J100" s="888">
        <f>Int_Mkt_Sh!H11</f>
        <v>8.5867135495582739E-2</v>
      </c>
      <c r="K100" s="888">
        <f>Int_Mkt_Sh!I11</f>
        <v>8.5867135495582739E-2</v>
      </c>
      <c r="L100" s="888">
        <f>Int_Mkt_Sh!J11</f>
        <v>8.5867135495582739E-2</v>
      </c>
      <c r="M100" s="888">
        <f>Int_Mkt_Sh!K11</f>
        <v>8.5867135495582739E-2</v>
      </c>
    </row>
    <row r="101" spans="1:13" x14ac:dyDescent="0.15">
      <c r="A101" s="1157"/>
      <c r="B101" s="1109"/>
      <c r="C101" s="1121" t="str">
        <f>Int_Mkt_Sh!A14</f>
        <v>Jet Smart</v>
      </c>
      <c r="D101" s="1122"/>
      <c r="E101" s="888">
        <f>Int_Mkt_Sh!C14</f>
        <v>9.063947147346792E-3</v>
      </c>
      <c r="F101" s="888">
        <f>Int_Mkt_Sh!D14</f>
        <v>1.5284203054478446E-2</v>
      </c>
      <c r="G101" s="888">
        <f>Int_Mkt_Sh!E14</f>
        <v>1.101987646010901E-2</v>
      </c>
      <c r="H101" s="888">
        <f>Int_Mkt_Sh!F14</f>
        <v>2.0714661143673568E-2</v>
      </c>
      <c r="I101" s="888">
        <f>Int_Mkt_Sh!G14</f>
        <v>2.0714661143673568E-2</v>
      </c>
      <c r="J101" s="888">
        <f>Int_Mkt_Sh!H14</f>
        <v>2.0714661143673568E-2</v>
      </c>
      <c r="K101" s="888">
        <f>Int_Mkt_Sh!I14</f>
        <v>2.0714661143673568E-2</v>
      </c>
      <c r="L101" s="888">
        <f>Int_Mkt_Sh!J14</f>
        <v>2.0714661143673568E-2</v>
      </c>
      <c r="M101" s="888">
        <f>Int_Mkt_Sh!K14</f>
        <v>2.0714661143673568E-2</v>
      </c>
    </row>
    <row r="102" spans="1:13" x14ac:dyDescent="0.15">
      <c r="A102" s="1157"/>
      <c r="B102" s="1109"/>
      <c r="C102" s="1121" t="str">
        <f>Int_Mkt_Sh!A17</f>
        <v>American Airlines</v>
      </c>
      <c r="D102" s="1122"/>
      <c r="E102" s="888">
        <f>Int_Mkt_Sh!C17</f>
        <v>4.3473239775088789E-2</v>
      </c>
      <c r="F102" s="888">
        <f>Int_Mkt_Sh!D17</f>
        <v>5.0153805112029472E-2</v>
      </c>
      <c r="G102" s="888">
        <f>Int_Mkt_Sh!E17</f>
        <v>0.12049698428529598</v>
      </c>
      <c r="H102" s="888">
        <f>Int_Mkt_Sh!F17</f>
        <v>7.2666223502303451E-2</v>
      </c>
      <c r="I102" s="888">
        <f>Int_Mkt_Sh!G17</f>
        <v>6.2666223502303456E-2</v>
      </c>
      <c r="J102" s="888">
        <f>Int_Mkt_Sh!H17</f>
        <v>5.7666223502303458E-2</v>
      </c>
      <c r="K102" s="888">
        <f>Int_Mkt_Sh!I17</f>
        <v>5.2666223502303461E-2</v>
      </c>
      <c r="L102" s="888">
        <f>Int_Mkt_Sh!J17</f>
        <v>5.2666223502303461E-2</v>
      </c>
      <c r="M102" s="888">
        <f>Int_Mkt_Sh!K17</f>
        <v>5.5166223502303463E-2</v>
      </c>
    </row>
    <row r="103" spans="1:13" x14ac:dyDescent="0.15">
      <c r="A103" s="1157"/>
      <c r="B103" s="1109"/>
      <c r="C103" s="1121" t="str">
        <f>Int_Mkt_Sh!A20</f>
        <v>United Airlines</v>
      </c>
      <c r="D103" s="1122"/>
      <c r="E103" s="888">
        <f>Int_Mkt_Sh!C20</f>
        <v>2.2141815602371485E-2</v>
      </c>
      <c r="F103" s="888">
        <f>Int_Mkt_Sh!D20</f>
        <v>2.572855439647579E-2</v>
      </c>
      <c r="G103" s="888">
        <f>Int_Mkt_Sh!E20</f>
        <v>3.2756053007140427E-2</v>
      </c>
      <c r="H103" s="888">
        <f>Int_Mkt_Sh!F20</f>
        <v>1.5392780763333424E-2</v>
      </c>
      <c r="I103" s="888">
        <f>Int_Mkt_Sh!G20</f>
        <v>1.2892780763333424E-2</v>
      </c>
      <c r="J103" s="888">
        <f>Int_Mkt_Sh!H20</f>
        <v>1.2892780763333424E-2</v>
      </c>
      <c r="K103" s="888">
        <f>Int_Mkt_Sh!I20</f>
        <v>1.2892780763333424E-2</v>
      </c>
      <c r="L103" s="888">
        <f>Int_Mkt_Sh!J20</f>
        <v>1.0392780763333423E-2</v>
      </c>
      <c r="M103" s="888">
        <f>Int_Mkt_Sh!K20</f>
        <v>1.2892780763333424E-2</v>
      </c>
    </row>
    <row r="104" spans="1:13" x14ac:dyDescent="0.15">
      <c r="A104" s="1157"/>
      <c r="B104" s="1109"/>
      <c r="C104" s="1121" t="str">
        <f>Int_Mkt_Sh!A23</f>
        <v>OTHERS</v>
      </c>
      <c r="D104" s="1122"/>
      <c r="E104" s="888">
        <f>Int_Mkt_Sh!C23</f>
        <v>0.3893885768711306</v>
      </c>
      <c r="F104" s="888">
        <f>Int_Mkt_Sh!D23</f>
        <v>0.39392970739128313</v>
      </c>
      <c r="G104" s="888">
        <f>Int_Mkt_Sh!E23</f>
        <v>0.33647571857095726</v>
      </c>
      <c r="H104" s="888">
        <f>Int_Mkt_Sh!F23</f>
        <v>0.26752329084908943</v>
      </c>
      <c r="I104" s="888">
        <f>Int_Mkt_Sh!G23</f>
        <v>0.25002329084908942</v>
      </c>
      <c r="J104" s="888">
        <f>Int_Mkt_Sh!H23</f>
        <v>0.24002329084908941</v>
      </c>
      <c r="K104" s="888">
        <f>Int_Mkt_Sh!I23</f>
        <v>0.23502329084908941</v>
      </c>
      <c r="L104" s="888">
        <f>Int_Mkt_Sh!J23</f>
        <v>0.20752329084908941</v>
      </c>
      <c r="M104" s="888">
        <f>Int_Mkt_Sh!K23</f>
        <v>0.19252329084908942</v>
      </c>
    </row>
    <row r="105" spans="1:13" ht="16" x14ac:dyDescent="0.2">
      <c r="A105" s="1157"/>
      <c r="B105" s="1109"/>
      <c r="C105" s="882"/>
      <c r="D105" s="883"/>
      <c r="E105" s="884"/>
      <c r="F105" s="885"/>
      <c r="G105" s="885"/>
      <c r="H105" s="885"/>
      <c r="I105" s="885"/>
      <c r="J105" s="889"/>
      <c r="K105" s="886"/>
      <c r="L105" s="886"/>
      <c r="M105" s="886"/>
    </row>
    <row r="106" spans="1:13" ht="13.5" customHeight="1" thickBot="1" x14ac:dyDescent="0.25">
      <c r="A106" s="1157"/>
      <c r="B106" s="1110"/>
      <c r="C106" s="1152" t="s">
        <v>95</v>
      </c>
      <c r="D106" s="1153"/>
      <c r="E106" s="888">
        <f>Int_Mkt_Sh!S18</f>
        <v>0.29948472843786472</v>
      </c>
      <c r="F106" s="888">
        <f>Int_Mkt_Sh!T18</f>
        <v>0.29264907183364613</v>
      </c>
      <c r="G106" s="888">
        <f>Int_Mkt_Sh!U18</f>
        <v>0.27591978982612236</v>
      </c>
      <c r="H106" s="888">
        <f>Int_Mkt_Sh!V18</f>
        <v>0.18004990232795459</v>
      </c>
      <c r="I106" s="888">
        <f>Int_Mkt_Sh!W18</f>
        <v>0.18764016587816146</v>
      </c>
      <c r="J106" s="888">
        <f>Int_Mkt_Sh!X18</f>
        <v>0.25163509390296956</v>
      </c>
      <c r="K106" s="888">
        <f>Int_Mkt_Sh!Y18</f>
        <v>0.27906149162788735</v>
      </c>
      <c r="L106" s="888">
        <f>Int_Mkt_Sh!Z18</f>
        <v>0.27906149162788735</v>
      </c>
      <c r="M106" s="888">
        <f>Int_Mkt_Sh!AA18</f>
        <v>0.27906149162788735</v>
      </c>
    </row>
    <row r="107" spans="1:13" ht="17" thickBot="1" x14ac:dyDescent="0.25">
      <c r="A107" s="1157"/>
      <c r="B107" s="886"/>
      <c r="C107" s="889"/>
      <c r="D107" s="889"/>
      <c r="E107" s="889"/>
      <c r="F107" s="889"/>
      <c r="G107" s="889"/>
      <c r="H107" s="889"/>
      <c r="I107" s="889"/>
      <c r="J107" s="889"/>
      <c r="K107" s="886"/>
      <c r="L107" s="886"/>
      <c r="M107" s="886"/>
    </row>
    <row r="108" spans="1:13" x14ac:dyDescent="0.15">
      <c r="A108" s="1158"/>
      <c r="B108" s="1117" t="s">
        <v>75</v>
      </c>
      <c r="C108" s="886" t="s">
        <v>96</v>
      </c>
      <c r="D108" s="886"/>
      <c r="E108" s="886">
        <v>585</v>
      </c>
      <c r="F108" s="886">
        <v>172.2</v>
      </c>
      <c r="G108" s="886">
        <v>75.5</v>
      </c>
      <c r="H108" s="886"/>
      <c r="I108" s="886"/>
      <c r="J108" s="886"/>
      <c r="K108" s="886"/>
      <c r="L108" s="886"/>
      <c r="M108" s="886"/>
    </row>
    <row r="109" spans="1:13" x14ac:dyDescent="0.15">
      <c r="A109" s="1158"/>
      <c r="B109" s="1118"/>
      <c r="C109" s="886" t="s">
        <v>97</v>
      </c>
      <c r="D109" s="886"/>
      <c r="E109" s="886">
        <v>1004.2</v>
      </c>
      <c r="F109" s="886">
        <v>505.1</v>
      </c>
      <c r="G109" s="886">
        <v>578</v>
      </c>
      <c r="H109" s="886"/>
      <c r="I109" s="886"/>
      <c r="J109" s="886"/>
      <c r="K109" s="886"/>
      <c r="L109" s="886"/>
      <c r="M109" s="886"/>
    </row>
    <row r="110" spans="1:13" x14ac:dyDescent="0.15">
      <c r="A110" s="1158"/>
      <c r="B110" s="1118"/>
      <c r="C110" s="886" t="s">
        <v>98</v>
      </c>
      <c r="D110" s="886"/>
      <c r="E110" s="886">
        <v>726.2</v>
      </c>
      <c r="F110" s="886">
        <v>338.6</v>
      </c>
      <c r="G110" s="886">
        <v>376.9</v>
      </c>
      <c r="H110" s="886"/>
      <c r="I110" s="886"/>
      <c r="J110" s="886"/>
      <c r="K110" s="886"/>
      <c r="L110" s="886"/>
      <c r="M110" s="886"/>
    </row>
    <row r="111" spans="1:13" x14ac:dyDescent="0.15">
      <c r="A111" s="1158"/>
      <c r="B111" s="1118"/>
      <c r="C111" s="886" t="s">
        <v>99</v>
      </c>
      <c r="D111" s="886"/>
      <c r="E111" s="886">
        <v>872.2</v>
      </c>
      <c r="F111" s="886">
        <v>378.4</v>
      </c>
      <c r="G111" s="886">
        <v>360</v>
      </c>
      <c r="H111" s="886">
        <v>474</v>
      </c>
      <c r="I111" s="886"/>
      <c r="J111" s="886"/>
      <c r="K111" s="886"/>
      <c r="L111" s="886"/>
      <c r="M111" s="886"/>
    </row>
    <row r="112" spans="1:13" x14ac:dyDescent="0.15">
      <c r="A112" s="1158"/>
      <c r="B112" s="1118"/>
      <c r="C112" s="421" t="s">
        <v>100</v>
      </c>
      <c r="D112" s="421"/>
      <c r="E112" s="421">
        <f>SUM(E108:E111)</f>
        <v>3187.6000000000004</v>
      </c>
      <c r="F112" s="421">
        <f>SUM(F108:F111)</f>
        <v>1394.3</v>
      </c>
      <c r="G112" s="421">
        <f>SUM(G108:G111)</f>
        <v>1390.4</v>
      </c>
      <c r="H112" s="886"/>
      <c r="I112" s="886"/>
      <c r="J112" s="886"/>
      <c r="K112" s="886"/>
      <c r="L112" s="886"/>
      <c r="M112" s="886"/>
    </row>
    <row r="113" spans="1:13" ht="17.5" customHeight="1" x14ac:dyDescent="0.15">
      <c r="A113" s="1158"/>
      <c r="B113" s="1119"/>
      <c r="C113" s="1148" t="s">
        <v>101</v>
      </c>
      <c r="D113" s="1149"/>
      <c r="E113" s="944">
        <f>Int_Mkt_Sh!T19</f>
        <v>18481071</v>
      </c>
      <c r="F113" s="944">
        <f>Int_Mkt_Sh!U19</f>
        <v>4695683</v>
      </c>
      <c r="G113" s="944">
        <f>Int_Mkt_Sh!V19</f>
        <v>3327268</v>
      </c>
      <c r="H113" s="944">
        <f>Int_Mkt_Sh!W19</f>
        <v>4623378.3809846593</v>
      </c>
      <c r="I113" s="944">
        <f>Int_Mkt_Sh!X19</f>
        <v>11918249.067152288</v>
      </c>
      <c r="J113" s="944">
        <f>Int_Mkt_Sh!Y19</f>
        <v>17623002.211579014</v>
      </c>
      <c r="K113" s="944">
        <f>Int_Mkt_Sh!Z19</f>
        <v>18920578.547308117</v>
      </c>
      <c r="L113" s="944">
        <f>Int_Mkt_Sh!AA19</f>
        <v>20313695.037139785</v>
      </c>
      <c r="M113" s="944">
        <f>Int_Mkt_Sh!AB19</f>
        <v>21809386.273794774</v>
      </c>
    </row>
    <row r="114" spans="1:13" ht="16.75" customHeight="1" x14ac:dyDescent="0.15">
      <c r="A114" s="1158"/>
      <c r="B114" s="1119"/>
      <c r="C114" s="1150" t="s">
        <v>102</v>
      </c>
      <c r="D114" s="1151"/>
      <c r="E114" s="943">
        <f>E112*10^6/E113</f>
        <v>172.47918153661118</v>
      </c>
      <c r="F114" s="943">
        <f t="shared" ref="F114:G114" si="29">F112*10^6/F113</f>
        <v>296.93230995363189</v>
      </c>
      <c r="G114" s="943">
        <f t="shared" si="29"/>
        <v>417.88037513058759</v>
      </c>
      <c r="H114" s="943">
        <v>474</v>
      </c>
      <c r="I114" s="943">
        <f>I120</f>
        <v>267.45539399619514</v>
      </c>
      <c r="J114" s="943">
        <f>J120*(1+J116)</f>
        <v>204.93391288500592</v>
      </c>
      <c r="K114" s="943">
        <f>K120*(1+K116)</f>
        <v>199.21345467478591</v>
      </c>
      <c r="L114" s="943">
        <f>L120*(1+L116)</f>
        <v>203.18047585012795</v>
      </c>
      <c r="M114" s="943">
        <f>M120*(1+M116)</f>
        <v>207.31997620700662</v>
      </c>
    </row>
    <row r="115" spans="1:13" x14ac:dyDescent="0.15">
      <c r="A115" s="1158"/>
      <c r="B115" s="1118"/>
      <c r="C115" s="886" t="s">
        <v>55</v>
      </c>
      <c r="D115" s="886"/>
      <c r="E115" s="886"/>
      <c r="F115" s="886"/>
      <c r="G115" s="886"/>
      <c r="H115" s="886"/>
      <c r="I115" s="886"/>
      <c r="J115" s="886"/>
      <c r="K115" s="886"/>
      <c r="L115" s="886"/>
      <c r="M115" s="886"/>
    </row>
    <row r="116" spans="1:13" x14ac:dyDescent="0.15">
      <c r="A116" s="1158"/>
      <c r="B116" s="1118"/>
      <c r="C116" s="886" t="s">
        <v>103</v>
      </c>
      <c r="D116" s="886"/>
      <c r="E116" s="886"/>
      <c r="F116" s="886"/>
      <c r="G116" s="886"/>
      <c r="H116" s="887">
        <v>7.6799999999999993E-2</v>
      </c>
      <c r="I116" s="887">
        <v>0.108</v>
      </c>
      <c r="J116" s="887">
        <v>0.13300000000000001</v>
      </c>
      <c r="K116" s="887">
        <v>0.155</v>
      </c>
      <c r="L116" s="887">
        <v>0.17799999999999999</v>
      </c>
      <c r="M116" s="887">
        <v>0.20200000000000001</v>
      </c>
    </row>
    <row r="117" spans="1:13" x14ac:dyDescent="0.15">
      <c r="A117" s="1158"/>
      <c r="B117" s="1118"/>
      <c r="C117" s="886" t="s">
        <v>104</v>
      </c>
      <c r="D117" s="886"/>
      <c r="E117" s="892">
        <f>E114/(E113*E10)</f>
        <v>5.0176065424789999E-6</v>
      </c>
      <c r="F117" s="893">
        <f t="shared" ref="F117:G117" si="30">F114/(F113*F10)</f>
        <v>5.7486517636350401E-5</v>
      </c>
      <c r="G117" s="893">
        <f t="shared" si="30"/>
        <v>7.4315172135250602E-5</v>
      </c>
      <c r="H117" s="894">
        <f>(G117)*100</f>
        <v>7.4315172135250599E-3</v>
      </c>
      <c r="I117" s="894">
        <f>(0.001%)*100</f>
        <v>1E-3</v>
      </c>
      <c r="J117" s="894">
        <f>(0.001%)*100</f>
        <v>1E-3</v>
      </c>
      <c r="K117" s="894">
        <f>(0.001%)*100</f>
        <v>1E-3</v>
      </c>
      <c r="L117" s="894">
        <f>(0.001%)*100</f>
        <v>1E-3</v>
      </c>
      <c r="M117" s="894">
        <f>(E118*(1.13))*100</f>
        <v>1.054600543098236E-3</v>
      </c>
    </row>
    <row r="118" spans="1:13" x14ac:dyDescent="0.15">
      <c r="A118" s="1158"/>
      <c r="B118" s="1118"/>
      <c r="C118" s="886"/>
      <c r="D118" s="886"/>
      <c r="E118" s="895">
        <f>E114/E113</f>
        <v>9.3327481690109396E-6</v>
      </c>
      <c r="F118" s="895">
        <f>F114/F113</f>
        <v>6.3235169399985454E-5</v>
      </c>
      <c r="G118" s="895">
        <f>G114/G113</f>
        <v>1.2559264090857353E-4</v>
      </c>
      <c r="H118" s="886"/>
      <c r="I118" s="886"/>
      <c r="J118" s="886"/>
      <c r="K118" s="886"/>
      <c r="L118" s="886"/>
      <c r="M118" s="886"/>
    </row>
    <row r="119" spans="1:13" ht="14" thickBot="1" x14ac:dyDescent="0.2">
      <c r="A119" s="1158"/>
      <c r="B119" s="1120"/>
      <c r="C119" s="886"/>
      <c r="D119" s="886"/>
      <c r="E119" s="891">
        <f>E118*E113</f>
        <v>172.47918153661118</v>
      </c>
      <c r="F119" s="891"/>
      <c r="G119" s="891"/>
      <c r="H119" s="888">
        <f>H114/H113</f>
        <v>1.0252243293551291E-4</v>
      </c>
      <c r="I119" s="886">
        <f>H119*(1+$L$120)</f>
        <v>1.7785507754794889E-2</v>
      </c>
      <c r="J119" s="886">
        <f>I119*(1+$L$120)</f>
        <v>3.0854153285148684</v>
      </c>
      <c r="K119" s="886">
        <f>J119*(1+$L$120)</f>
        <v>535.25532589127363</v>
      </c>
      <c r="L119" s="886">
        <f>K119*(1+$L$120)</f>
        <v>92855.655848730239</v>
      </c>
      <c r="M119" s="886">
        <f>E118</f>
        <v>9.3327481690109396E-6</v>
      </c>
    </row>
    <row r="120" spans="1:13" x14ac:dyDescent="0.15">
      <c r="A120" s="1157"/>
      <c r="B120" s="886"/>
      <c r="C120" s="886"/>
      <c r="D120" s="886"/>
      <c r="E120" s="886">
        <f>E117*E113*E10</f>
        <v>172.47918153661118</v>
      </c>
      <c r="F120" s="886"/>
      <c r="G120" s="886"/>
      <c r="H120" s="886">
        <f>H114/(1+H116)</f>
        <v>440.19316493313522</v>
      </c>
      <c r="I120" s="886">
        <f>$E$114*$E$113/I113</f>
        <v>267.45539399619514</v>
      </c>
      <c r="J120" s="886">
        <f>$E$114*$E$113/J113</f>
        <v>180.87723996911379</v>
      </c>
      <c r="K120" s="886">
        <f>$E$120</f>
        <v>172.47918153661118</v>
      </c>
      <c r="L120" s="886">
        <f>$E$120</f>
        <v>172.47918153661118</v>
      </c>
      <c r="M120" s="886">
        <f>$E$120</f>
        <v>172.47918153661118</v>
      </c>
    </row>
    <row r="121" spans="1:13" ht="14" thickBot="1" x14ac:dyDescent="0.2">
      <c r="A121" s="1157"/>
      <c r="C121" s="886"/>
      <c r="D121" s="886"/>
      <c r="E121" s="886"/>
      <c r="F121" s="886"/>
      <c r="G121" s="886"/>
      <c r="H121" s="886"/>
      <c r="I121" s="886"/>
      <c r="J121" s="886"/>
      <c r="K121" s="886">
        <f t="shared" ref="K121:L121" si="31">J122*(1+K116)</f>
        <v>4171.341174000001</v>
      </c>
      <c r="L121" s="886">
        <f t="shared" si="31"/>
        <v>4440.1574362550627</v>
      </c>
      <c r="M121" s="886">
        <f>L122*(1+M116)</f>
        <v>4961.0701611523727</v>
      </c>
    </row>
    <row r="122" spans="1:13" ht="43.75" customHeight="1" thickBot="1" x14ac:dyDescent="0.2">
      <c r="A122" s="1159"/>
      <c r="B122" s="953" t="s">
        <v>85</v>
      </c>
      <c r="C122" s="1114" t="s">
        <v>105</v>
      </c>
      <c r="D122" s="1114"/>
      <c r="E122" s="952">
        <f>E112</f>
        <v>3187.6000000000004</v>
      </c>
      <c r="F122" s="952">
        <f>F112</f>
        <v>1394.3</v>
      </c>
      <c r="G122" s="952">
        <f>G112</f>
        <v>1390.4</v>
      </c>
      <c r="H122" s="952">
        <f t="shared" ref="H122:M122" si="32">H113*H114/(10^6)</f>
        <v>2191.4813525867285</v>
      </c>
      <c r="I122" s="952">
        <f t="shared" si="32"/>
        <v>3187.6000000000004</v>
      </c>
      <c r="J122" s="952">
        <f t="shared" si="32"/>
        <v>3611.5508000000004</v>
      </c>
      <c r="K122" s="952">
        <f t="shared" si="32"/>
        <v>3769.2338168548922</v>
      </c>
      <c r="L122" s="952">
        <f t="shared" si="32"/>
        <v>4127.3462239204437</v>
      </c>
      <c r="M122" s="952">
        <f t="shared" si="32"/>
        <v>4521.5214433725487</v>
      </c>
    </row>
    <row r="123" spans="1:13" x14ac:dyDescent="0.15">
      <c r="A123" s="896"/>
      <c r="B123" s="896"/>
      <c r="C123" s="896"/>
      <c r="D123" s="896"/>
      <c r="E123" s="896"/>
      <c r="F123" s="896"/>
      <c r="G123" s="945"/>
      <c r="H123" s="945"/>
      <c r="I123" s="945">
        <f>$E$113/$I$113*$E$114</f>
        <v>267.45539399619514</v>
      </c>
      <c r="J123" s="945">
        <f t="shared" ref="J123:M123" si="33">$E$113/$I$113*$E$114</f>
        <v>267.45539399619514</v>
      </c>
      <c r="K123" s="945">
        <f t="shared" si="33"/>
        <v>267.45539399619514</v>
      </c>
      <c r="L123" s="945">
        <f t="shared" si="33"/>
        <v>267.45539399619514</v>
      </c>
      <c r="M123" s="945">
        <f t="shared" si="33"/>
        <v>267.45539399619514</v>
      </c>
    </row>
    <row r="124" spans="1:13" x14ac:dyDescent="0.15">
      <c r="G124" s="946"/>
      <c r="H124" s="946" t="s">
        <v>106</v>
      </c>
      <c r="I124" s="946">
        <f>(M120/H120)^(1/5)-1</f>
        <v>-0.17087754435864233</v>
      </c>
      <c r="J124" s="946"/>
      <c r="K124" s="946"/>
      <c r="L124" s="946"/>
      <c r="M124" s="946"/>
    </row>
    <row r="125" spans="1:13" ht="14" thickBot="1" x14ac:dyDescent="0.2">
      <c r="G125" s="946"/>
      <c r="H125" s="946">
        <v>100</v>
      </c>
      <c r="I125" s="946"/>
      <c r="J125" s="946"/>
      <c r="K125" s="946"/>
      <c r="L125" s="946"/>
      <c r="M125" s="946"/>
    </row>
    <row r="126" spans="1:13" ht="43.75" customHeight="1" thickBot="1" x14ac:dyDescent="0.2">
      <c r="A126" s="1154" t="s">
        <v>107</v>
      </c>
      <c r="B126" s="1155"/>
      <c r="C126" s="879"/>
      <c r="D126" s="879"/>
      <c r="E126" s="880">
        <f>E122+E84+E46</f>
        <v>6120.3</v>
      </c>
      <c r="F126" s="880">
        <f t="shared" ref="F126:G126" si="34">F122+F84+F46</f>
        <v>2619.6000000000004</v>
      </c>
      <c r="G126" s="880">
        <f t="shared" si="34"/>
        <v>3219.6</v>
      </c>
      <c r="H126" s="880">
        <f t="shared" ref="H126:M126" si="35">H122+H84+H46</f>
        <v>7759.8172455528547</v>
      </c>
      <c r="I126" s="880">
        <f t="shared" si="35"/>
        <v>9246.2798937539628</v>
      </c>
      <c r="J126" s="880">
        <f t="shared" si="35"/>
        <v>10229.781304218201</v>
      </c>
      <c r="K126" s="880">
        <f t="shared" si="35"/>
        <v>10580.000310467987</v>
      </c>
      <c r="L126" s="880">
        <f t="shared" si="35"/>
        <v>11112.006339413958</v>
      </c>
      <c r="M126" s="880">
        <f t="shared" si="35"/>
        <v>11704.023582090578</v>
      </c>
    </row>
    <row r="127" spans="1:13" x14ac:dyDescent="0.15">
      <c r="C127" s="917"/>
      <c r="D127" s="917"/>
      <c r="E127" s="917"/>
      <c r="F127" s="917"/>
      <c r="G127" s="917"/>
      <c r="H127" s="917">
        <f t="shared" ref="H127:M127" si="36">+H122/H126</f>
        <v>0.28241404188257974</v>
      </c>
      <c r="I127" s="917">
        <f t="shared" si="36"/>
        <v>0.3447440523786528</v>
      </c>
      <c r="J127" s="917">
        <f t="shared" si="36"/>
        <v>0.35304281612655736</v>
      </c>
      <c r="K127" s="917">
        <f t="shared" si="36"/>
        <v>0.35626027469257859</v>
      </c>
      <c r="L127" s="917">
        <f t="shared" si="36"/>
        <v>0.37143123373506987</v>
      </c>
      <c r="M127" s="917">
        <f t="shared" si="36"/>
        <v>0.38632196967642407</v>
      </c>
    </row>
    <row r="128" spans="1:13" x14ac:dyDescent="0.15">
      <c r="C128" s="917"/>
      <c r="D128" s="917"/>
      <c r="E128" s="917"/>
      <c r="F128" s="917"/>
      <c r="G128" s="917"/>
      <c r="H128" s="917"/>
      <c r="I128" s="917"/>
      <c r="J128" s="917"/>
      <c r="K128" s="917"/>
      <c r="L128" s="917"/>
      <c r="M128" s="917"/>
    </row>
    <row r="129" spans="1:19" x14ac:dyDescent="0.15">
      <c r="C129" s="917"/>
      <c r="D129" s="917"/>
      <c r="E129" s="917"/>
      <c r="F129" s="917"/>
      <c r="G129" s="917"/>
      <c r="H129" s="917"/>
      <c r="I129" s="917"/>
      <c r="J129" s="917"/>
      <c r="K129" s="917"/>
      <c r="L129" s="917"/>
      <c r="M129" s="917"/>
    </row>
    <row r="130" spans="1:19" x14ac:dyDescent="0.15">
      <c r="C130" s="917">
        <v>474</v>
      </c>
      <c r="D130" s="917"/>
      <c r="E130" s="918">
        <f>E122/E126</f>
        <v>0.52082414260738852</v>
      </c>
      <c r="F130" s="918">
        <f t="shared" ref="F130:G130" si="37">F122/F126</f>
        <v>0.53225683310429062</v>
      </c>
      <c r="G130" s="918">
        <f t="shared" si="37"/>
        <v>0.43185488880606293</v>
      </c>
      <c r="H130" s="918">
        <f>H122/H126</f>
        <v>0.28241404188257974</v>
      </c>
      <c r="I130" s="918">
        <f>I122/I126</f>
        <v>0.3447440523786528</v>
      </c>
      <c r="J130" s="918">
        <f t="shared" ref="J130:K130" si="38">J122/J126</f>
        <v>0.35304281612655736</v>
      </c>
      <c r="K130" s="918">
        <f t="shared" si="38"/>
        <v>0.35626027469257859</v>
      </c>
      <c r="L130" s="918">
        <f>L122/L126</f>
        <v>0.37143123373506987</v>
      </c>
      <c r="M130" s="918">
        <f>M122/M126</f>
        <v>0.38632196967642407</v>
      </c>
    </row>
    <row r="131" spans="1:19" x14ac:dyDescent="0.15">
      <c r="C131" s="917"/>
      <c r="D131" s="917"/>
      <c r="E131" s="917"/>
      <c r="F131" s="917"/>
      <c r="G131" s="917"/>
      <c r="H131" s="917"/>
      <c r="I131" s="917"/>
      <c r="J131" s="917"/>
      <c r="K131" s="917"/>
      <c r="L131" s="917"/>
      <c r="M131" s="917"/>
    </row>
    <row r="132" spans="1:19" x14ac:dyDescent="0.15">
      <c r="C132" s="917"/>
      <c r="D132" s="917"/>
      <c r="E132" s="917"/>
      <c r="F132" s="917"/>
      <c r="G132" s="917"/>
      <c r="H132" s="917"/>
      <c r="I132" s="917"/>
      <c r="J132" s="917"/>
      <c r="K132" s="917"/>
      <c r="L132" s="917"/>
      <c r="M132" s="917"/>
    </row>
    <row r="133" spans="1:19" x14ac:dyDescent="0.15">
      <c r="C133" s="917"/>
      <c r="D133" s="917"/>
      <c r="E133" s="917">
        <f>E114</f>
        <v>172.47918153661118</v>
      </c>
      <c r="F133" s="917">
        <f t="shared" ref="F133:M133" si="39">F114</f>
        <v>296.93230995363189</v>
      </c>
      <c r="G133" s="917">
        <f t="shared" si="39"/>
        <v>417.88037513058759</v>
      </c>
      <c r="H133" s="917">
        <f t="shared" si="39"/>
        <v>474</v>
      </c>
      <c r="I133" s="917">
        <f t="shared" si="39"/>
        <v>267.45539399619514</v>
      </c>
      <c r="J133" s="917">
        <f t="shared" si="39"/>
        <v>204.93391288500592</v>
      </c>
      <c r="K133" s="917">
        <f t="shared" si="39"/>
        <v>199.21345467478591</v>
      </c>
      <c r="L133" s="917">
        <f t="shared" si="39"/>
        <v>203.18047585012795</v>
      </c>
      <c r="M133" s="917">
        <f t="shared" si="39"/>
        <v>207.31997620700662</v>
      </c>
    </row>
    <row r="134" spans="1:19" x14ac:dyDescent="0.15">
      <c r="C134" s="917"/>
      <c r="D134" s="917"/>
      <c r="E134" s="917"/>
      <c r="F134" s="917"/>
      <c r="G134" s="917"/>
      <c r="H134" s="917"/>
      <c r="I134" s="917"/>
      <c r="J134" s="917"/>
      <c r="K134" s="917"/>
      <c r="L134" s="917"/>
      <c r="M134" s="917"/>
    </row>
    <row r="135" spans="1:19" x14ac:dyDescent="0.15">
      <c r="C135" s="917"/>
      <c r="D135" s="917"/>
      <c r="E135" s="917">
        <v>7</v>
      </c>
      <c r="F135" s="917">
        <v>7.8</v>
      </c>
      <c r="G135" s="917">
        <v>7.6</v>
      </c>
      <c r="H135" s="917">
        <v>8.4</v>
      </c>
      <c r="I135" s="917">
        <v>8.1999999999999993</v>
      </c>
      <c r="J135" s="917">
        <v>7.7</v>
      </c>
      <c r="K135" s="917">
        <v>7.8</v>
      </c>
      <c r="L135" s="917">
        <v>7.8</v>
      </c>
      <c r="M135" s="917">
        <v>7.9</v>
      </c>
    </row>
    <row r="136" spans="1:19" x14ac:dyDescent="0.15">
      <c r="C136" s="917"/>
      <c r="D136" s="917"/>
      <c r="E136" s="917"/>
      <c r="F136" s="917"/>
      <c r="G136" s="917">
        <f>G135/F135-1</f>
        <v>-2.5641025641025661E-2</v>
      </c>
      <c r="H136" s="917">
        <f>H135/G135-1</f>
        <v>0.10526315789473695</v>
      </c>
      <c r="I136" s="917">
        <f t="shared" ref="I136:M136" si="40">I135/H135-1</f>
        <v>-2.3809523809523947E-2</v>
      </c>
      <c r="J136" s="917">
        <f t="shared" si="40"/>
        <v>-6.0975609756097504E-2</v>
      </c>
      <c r="K136" s="917">
        <f t="shared" si="40"/>
        <v>1.298701298701288E-2</v>
      </c>
      <c r="L136" s="917">
        <f t="shared" si="40"/>
        <v>0</v>
      </c>
      <c r="M136" s="917">
        <f t="shared" si="40"/>
        <v>1.2820512820512997E-2</v>
      </c>
    </row>
    <row r="137" spans="1:19" x14ac:dyDescent="0.15">
      <c r="C137" s="917"/>
      <c r="D137" s="917"/>
      <c r="E137" s="917"/>
      <c r="F137" s="917"/>
      <c r="G137" s="917"/>
      <c r="H137" s="917">
        <f>G133*(1+H136)</f>
        <v>461.86778303907056</v>
      </c>
      <c r="I137" s="917">
        <f t="shared" ref="I137:M137" si="41">H133*(1+I136)</f>
        <v>462.71428571428567</v>
      </c>
      <c r="J137" s="917">
        <f t="shared" si="41"/>
        <v>251.14713826471984</v>
      </c>
      <c r="K137" s="917">
        <f t="shared" si="41"/>
        <v>207.59539227312285</v>
      </c>
      <c r="L137" s="917">
        <f t="shared" si="41"/>
        <v>199.21345467478591</v>
      </c>
      <c r="M137" s="917">
        <f t="shared" si="41"/>
        <v>205.78535374564245</v>
      </c>
    </row>
    <row r="138" spans="1:19" x14ac:dyDescent="0.15">
      <c r="C138" s="917"/>
      <c r="D138" s="917"/>
      <c r="E138" s="917"/>
      <c r="F138" s="917"/>
      <c r="G138" s="917"/>
      <c r="H138" s="917">
        <f>H135/E135</f>
        <v>1.2</v>
      </c>
      <c r="I138" s="917">
        <f>I135/E135</f>
        <v>1.1714285714285713</v>
      </c>
      <c r="J138" s="917">
        <f t="shared" ref="J138:M138" si="42">J135/F135</f>
        <v>0.98717948717948723</v>
      </c>
      <c r="K138" s="917">
        <f t="shared" si="42"/>
        <v>1.0263157894736843</v>
      </c>
      <c r="L138" s="917">
        <f t="shared" si="42"/>
        <v>0.92857142857142849</v>
      </c>
      <c r="M138" s="917">
        <f t="shared" si="42"/>
        <v>0.96341463414634154</v>
      </c>
    </row>
    <row r="139" spans="1:19" ht="16" x14ac:dyDescent="0.2">
      <c r="A139" s="422"/>
      <c r="B139" s="422"/>
      <c r="C139" s="919"/>
      <c r="D139" s="919"/>
      <c r="E139" s="919"/>
      <c r="F139" s="919"/>
      <c r="G139" s="919"/>
      <c r="H139" s="919">
        <f>E114*H138</f>
        <v>206.97501784393341</v>
      </c>
      <c r="I139" s="919"/>
      <c r="J139" s="919"/>
      <c r="K139" s="917"/>
      <c r="L139" s="920"/>
      <c r="M139" s="917"/>
    </row>
    <row r="140" spans="1:19" ht="16" x14ac:dyDescent="0.2">
      <c r="A140" s="422"/>
      <c r="B140" s="423"/>
      <c r="C140" s="919"/>
      <c r="D140" s="919"/>
      <c r="E140" s="919"/>
      <c r="F140" s="919"/>
      <c r="G140" s="919"/>
      <c r="H140" s="919"/>
      <c r="I140" s="919"/>
      <c r="J140" s="919"/>
      <c r="K140" s="917"/>
      <c r="L140" s="917"/>
      <c r="M140" s="917"/>
    </row>
    <row r="141" spans="1:19" ht="16" x14ac:dyDescent="0.2">
      <c r="A141" s="422"/>
      <c r="B141" s="422"/>
      <c r="C141" s="919"/>
      <c r="D141" s="919"/>
      <c r="E141" s="919"/>
      <c r="F141" s="919"/>
      <c r="G141" s="919"/>
      <c r="H141" s="919"/>
      <c r="I141" s="919"/>
      <c r="J141" s="919"/>
      <c r="K141" s="917"/>
      <c r="L141" s="917"/>
      <c r="M141" s="917"/>
    </row>
    <row r="142" spans="1:19" ht="16" x14ac:dyDescent="0.2">
      <c r="A142" s="422"/>
      <c r="B142" s="422"/>
      <c r="C142" s="919"/>
      <c r="D142" s="919"/>
      <c r="E142" s="919"/>
      <c r="F142" s="919"/>
      <c r="G142" s="919"/>
      <c r="H142" s="919">
        <v>9654</v>
      </c>
      <c r="I142" s="919">
        <f>11458</f>
        <v>11458</v>
      </c>
      <c r="J142" s="917">
        <v>11407</v>
      </c>
      <c r="K142" s="917">
        <v>12252</v>
      </c>
      <c r="L142" s="917">
        <v>13069</v>
      </c>
      <c r="M142" s="917">
        <v>13853</v>
      </c>
      <c r="S142" s="396">
        <v>7</v>
      </c>
    </row>
    <row r="143" spans="1:19" ht="16" x14ac:dyDescent="0.2">
      <c r="A143" s="422"/>
      <c r="B143" s="422"/>
      <c r="C143" s="919"/>
      <c r="D143" s="919"/>
      <c r="E143" s="919"/>
      <c r="F143" s="919"/>
      <c r="G143" s="919"/>
      <c r="H143" s="919"/>
      <c r="I143" s="919"/>
      <c r="J143" s="919"/>
      <c r="K143" s="917"/>
      <c r="L143" s="917"/>
      <c r="M143" s="917"/>
      <c r="S143" s="482">
        <v>0.13</v>
      </c>
    </row>
    <row r="144" spans="1:19" ht="16" x14ac:dyDescent="0.2">
      <c r="A144" s="422"/>
      <c r="B144" s="424"/>
      <c r="C144" s="921"/>
      <c r="D144" s="921"/>
      <c r="E144" s="921"/>
      <c r="F144" s="921"/>
      <c r="G144" s="921"/>
      <c r="H144" s="921">
        <f>SUM($H$142:H142)</f>
        <v>9654</v>
      </c>
      <c r="I144" s="921">
        <f>SUM($H$142:I142)</f>
        <v>21112</v>
      </c>
      <c r="J144" s="921">
        <f>SUM($H$142:J142)</f>
        <v>32519</v>
      </c>
      <c r="K144" s="921">
        <f>SUM($H$142:K142)</f>
        <v>44771</v>
      </c>
      <c r="L144" s="921">
        <f>SUM($H$142:L142)</f>
        <v>57840</v>
      </c>
      <c r="M144" s="921">
        <f>SUM($H$142:M142)</f>
        <v>71693</v>
      </c>
      <c r="S144" s="396">
        <f>S142*(1+S143)</f>
        <v>7.9099999999999993</v>
      </c>
    </row>
    <row r="145" spans="1:13" ht="16" x14ac:dyDescent="0.2">
      <c r="A145" s="422"/>
      <c r="B145" s="425"/>
      <c r="C145" s="922"/>
      <c r="D145" s="922"/>
      <c r="E145" s="922"/>
      <c r="F145" s="922"/>
      <c r="G145" s="922"/>
      <c r="H145" s="921">
        <f>SUM($H$126:H126)</f>
        <v>7759.8172455528547</v>
      </c>
      <c r="I145" s="921">
        <f>SUM($H$126:I126)</f>
        <v>17006.097139306818</v>
      </c>
      <c r="J145" s="921">
        <f>SUM($H$126:J126)</f>
        <v>27235.87844352502</v>
      </c>
      <c r="K145" s="921">
        <f>SUM($H$126:K126)</f>
        <v>37815.878753993005</v>
      </c>
      <c r="L145" s="921">
        <f>SUM($H$126:L126)</f>
        <v>48927.885093406963</v>
      </c>
      <c r="M145" s="921">
        <f>SUM($H$126:M126)</f>
        <v>60631.908675497543</v>
      </c>
    </row>
    <row r="146" spans="1:13" ht="16" x14ac:dyDescent="0.2">
      <c r="A146" s="422"/>
      <c r="B146" s="425"/>
      <c r="C146" s="922"/>
      <c r="D146" s="922"/>
      <c r="E146" s="923"/>
      <c r="F146" s="923"/>
      <c r="G146" s="923"/>
      <c r="H146" s="923"/>
      <c r="I146" s="923"/>
      <c r="J146" s="923"/>
      <c r="K146" s="917"/>
      <c r="L146" s="917"/>
      <c r="M146" s="917"/>
    </row>
    <row r="147" spans="1:13" ht="16" x14ac:dyDescent="0.2">
      <c r="A147" s="422"/>
      <c r="B147" s="425"/>
      <c r="C147" s="922"/>
      <c r="D147" s="922"/>
      <c r="E147" s="922"/>
      <c r="F147" s="922"/>
      <c r="G147" s="922"/>
      <c r="H147" s="922"/>
      <c r="I147" s="922">
        <f>I135/H135-1</f>
        <v>-2.3809523809523947E-2</v>
      </c>
      <c r="J147" s="922">
        <f t="shared" ref="J147:M147" si="43">J135/I135-1</f>
        <v>-6.0975609756097504E-2</v>
      </c>
      <c r="K147" s="922">
        <f t="shared" si="43"/>
        <v>1.298701298701288E-2</v>
      </c>
      <c r="L147" s="922">
        <f t="shared" si="43"/>
        <v>0</v>
      </c>
      <c r="M147" s="922">
        <f t="shared" si="43"/>
        <v>1.2820512820512997E-2</v>
      </c>
    </row>
    <row r="148" spans="1:13" ht="16" x14ac:dyDescent="0.2">
      <c r="A148" s="422"/>
      <c r="B148" s="424"/>
      <c r="C148" s="921"/>
      <c r="D148" s="921"/>
      <c r="E148" s="921"/>
      <c r="F148" s="921"/>
      <c r="G148" s="921"/>
      <c r="H148" s="921"/>
      <c r="I148" s="921"/>
      <c r="J148" s="921"/>
      <c r="K148" s="917"/>
      <c r="L148" s="917"/>
      <c r="M148" s="917"/>
    </row>
    <row r="149" spans="1:13" ht="16" x14ac:dyDescent="0.2">
      <c r="A149" s="422"/>
      <c r="B149" s="422"/>
      <c r="C149" s="919"/>
      <c r="D149" s="919"/>
      <c r="E149" s="919"/>
      <c r="F149" s="919"/>
      <c r="G149" s="919"/>
      <c r="H149" s="919"/>
      <c r="I149" s="919"/>
      <c r="J149" s="919"/>
      <c r="K149" s="917"/>
      <c r="L149" s="917"/>
      <c r="M149" s="917"/>
    </row>
    <row r="150" spans="1:13" ht="16" x14ac:dyDescent="0.2">
      <c r="A150" s="426"/>
      <c r="B150" s="424"/>
      <c r="C150" s="921"/>
      <c r="D150" s="921"/>
      <c r="E150" s="921"/>
      <c r="F150" s="921"/>
      <c r="G150" s="921"/>
      <c r="H150" s="921"/>
      <c r="I150" s="921"/>
      <c r="J150" s="921"/>
      <c r="K150" s="917"/>
      <c r="L150" s="917"/>
      <c r="M150" s="917"/>
    </row>
    <row r="151" spans="1:13" x14ac:dyDescent="0.15">
      <c r="C151" s="917"/>
      <c r="D151" s="917"/>
      <c r="E151" s="917"/>
      <c r="F151" s="917"/>
      <c r="G151" s="917"/>
      <c r="H151" s="917"/>
      <c r="I151" s="917"/>
      <c r="J151" s="917"/>
      <c r="K151" s="917"/>
      <c r="L151" s="917"/>
      <c r="M151" s="917"/>
    </row>
  </sheetData>
  <mergeCells count="49">
    <mergeCell ref="C113:D113"/>
    <mergeCell ref="C114:D114"/>
    <mergeCell ref="C106:D106"/>
    <mergeCell ref="A126:B126"/>
    <mergeCell ref="A88:A122"/>
    <mergeCell ref="C99:D99"/>
    <mergeCell ref="C100:D100"/>
    <mergeCell ref="C101:D101"/>
    <mergeCell ref="C102:D102"/>
    <mergeCell ref="C103:D103"/>
    <mergeCell ref="C104:D104"/>
    <mergeCell ref="C98:D98"/>
    <mergeCell ref="C62:D62"/>
    <mergeCell ref="C21:D21"/>
    <mergeCell ref="C22:D22"/>
    <mergeCell ref="C23:D23"/>
    <mergeCell ref="C97:D97"/>
    <mergeCell ref="C63:D63"/>
    <mergeCell ref="C64:D64"/>
    <mergeCell ref="B46:B47"/>
    <mergeCell ref="A7:A47"/>
    <mergeCell ref="A1:I4"/>
    <mergeCell ref="C6:D6"/>
    <mergeCell ref="C7:D7"/>
    <mergeCell ref="B7:B15"/>
    <mergeCell ref="C43:D43"/>
    <mergeCell ref="B43:B44"/>
    <mergeCell ref="C29:D29"/>
    <mergeCell ref="B29:B41"/>
    <mergeCell ref="C17:D17"/>
    <mergeCell ref="B17:B27"/>
    <mergeCell ref="C20:D20"/>
    <mergeCell ref="C46:D46"/>
    <mergeCell ref="A50:A86"/>
    <mergeCell ref="B50:B58"/>
    <mergeCell ref="B60:B70"/>
    <mergeCell ref="C84:D84"/>
    <mergeCell ref="C122:D122"/>
    <mergeCell ref="C50:D50"/>
    <mergeCell ref="C60:D60"/>
    <mergeCell ref="B72:B82"/>
    <mergeCell ref="B96:B106"/>
    <mergeCell ref="B108:B119"/>
    <mergeCell ref="C88:D88"/>
    <mergeCell ref="B88:B94"/>
    <mergeCell ref="C96:D96"/>
    <mergeCell ref="B84:B86"/>
    <mergeCell ref="C65:D65"/>
    <mergeCell ref="C66:D66"/>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227A9-B297-1C4B-BFFB-67C310E11016}">
  <sheetPr>
    <tabColor theme="4" tint="0.59999389629810485"/>
  </sheetPr>
  <dimension ref="A1:AB61"/>
  <sheetViews>
    <sheetView zoomScale="126" workbookViewId="0">
      <pane xSplit="2" ySplit="3" topLeftCell="C4" activePane="bottomRight" state="frozen"/>
      <selection activeCell="F43" sqref="F43"/>
      <selection pane="topRight" activeCell="F43" sqref="F43"/>
      <selection pane="bottomLeft" activeCell="F43" sqref="F43"/>
      <selection pane="bottomRight" sqref="A1:B1"/>
    </sheetView>
  </sheetViews>
  <sheetFormatPr baseColWidth="10" defaultColWidth="10.83203125" defaultRowHeight="16" x14ac:dyDescent="0.2"/>
  <cols>
    <col min="1" max="1" width="10.83203125" style="484"/>
    <col min="2" max="2" width="43.83203125" style="484" bestFit="1" customWidth="1"/>
    <col min="3" max="3" width="12.1640625" style="492" bestFit="1" customWidth="1"/>
    <col min="4" max="4" width="11" style="492" bestFit="1" customWidth="1"/>
    <col min="5" max="5" width="11" style="492" customWidth="1"/>
    <col min="6" max="7" width="11" style="492" bestFit="1" customWidth="1"/>
    <col min="8" max="13" width="11.5" style="484" customWidth="1"/>
    <col min="14" max="16384" width="10.83203125" style="484"/>
  </cols>
  <sheetData>
    <row r="1" spans="1:21" x14ac:dyDescent="0.2">
      <c r="A1" s="1160" t="s">
        <v>343</v>
      </c>
      <c r="B1" s="1161"/>
      <c r="C1" s="505">
        <v>2017</v>
      </c>
      <c r="D1" s="505">
        <v>2018</v>
      </c>
      <c r="E1" s="505">
        <v>2019</v>
      </c>
      <c r="F1" s="505">
        <v>2020</v>
      </c>
      <c r="G1" s="954">
        <v>2021</v>
      </c>
      <c r="H1" s="498" t="s">
        <v>0</v>
      </c>
      <c r="I1" s="498" t="s">
        <v>1</v>
      </c>
      <c r="J1" s="498" t="s">
        <v>2</v>
      </c>
      <c r="K1" s="498" t="s">
        <v>3</v>
      </c>
      <c r="L1" s="498" t="s">
        <v>4</v>
      </c>
      <c r="M1" s="498" t="s">
        <v>5</v>
      </c>
    </row>
    <row r="2" spans="1:21" hidden="1" x14ac:dyDescent="0.2">
      <c r="A2" s="529"/>
      <c r="B2" s="529"/>
      <c r="C2" s="530">
        <v>2017</v>
      </c>
      <c r="D2" s="530">
        <v>2018</v>
      </c>
      <c r="E2" s="530">
        <v>2019</v>
      </c>
      <c r="F2" s="530">
        <v>2020</v>
      </c>
      <c r="G2" s="530">
        <v>2021</v>
      </c>
      <c r="H2" s="955">
        <v>2022</v>
      </c>
      <c r="I2" s="530">
        <v>2023</v>
      </c>
      <c r="J2" s="530">
        <v>2024</v>
      </c>
      <c r="K2" s="530">
        <v>2025</v>
      </c>
      <c r="L2" s="530">
        <v>2026</v>
      </c>
      <c r="M2" s="530">
        <v>2027</v>
      </c>
    </row>
    <row r="3" spans="1:21" x14ac:dyDescent="0.2">
      <c r="A3" s="485"/>
      <c r="B3" s="499" t="s">
        <v>510</v>
      </c>
      <c r="C3" s="486"/>
      <c r="D3" s="486"/>
      <c r="E3" s="484"/>
      <c r="F3" s="484"/>
      <c r="G3" s="484"/>
      <c r="H3" s="956"/>
    </row>
    <row r="4" spans="1:21" x14ac:dyDescent="0.2">
      <c r="A4" s="485"/>
      <c r="B4" s="487" t="s">
        <v>511</v>
      </c>
      <c r="C4" s="516">
        <f>SS!AL9</f>
        <v>8494477</v>
      </c>
      <c r="D4" s="516">
        <f>SS!AW9</f>
        <v>8708988</v>
      </c>
      <c r="E4" s="516">
        <f>SS!BB9</f>
        <v>9005629</v>
      </c>
      <c r="F4" s="516">
        <f>SS!BG9</f>
        <v>2713774</v>
      </c>
      <c r="G4" s="516">
        <f>SS!BL9</f>
        <v>3342380.5721577452</v>
      </c>
      <c r="H4" s="960">
        <f>'Forecast Drivers'!H126*10^3</f>
        <v>7759817.2455528546</v>
      </c>
      <c r="I4" s="961">
        <f>'Forecast Drivers'!I126*10^3</f>
        <v>9246279.8937539626</v>
      </c>
      <c r="J4" s="961">
        <f>'Forecast Drivers'!J126*10^3</f>
        <v>10229781.304218201</v>
      </c>
      <c r="K4" s="961">
        <f>'Forecast Drivers'!K126*10^3</f>
        <v>10580000.310467986</v>
      </c>
      <c r="L4" s="961">
        <f>'Forecast Drivers'!L126*10^3</f>
        <v>11112006.339413958</v>
      </c>
      <c r="M4" s="961">
        <f>'Forecast Drivers'!M126*10^3</f>
        <v>11704023.582090579</v>
      </c>
    </row>
    <row r="5" spans="1:21" x14ac:dyDescent="0.2">
      <c r="A5" s="485"/>
      <c r="B5" s="487" t="s">
        <v>512</v>
      </c>
      <c r="C5" s="516">
        <f>Margin!I4</f>
        <v>1119430</v>
      </c>
      <c r="D5" s="516">
        <f>Margin!J4</f>
        <v>1186468</v>
      </c>
      <c r="E5" s="516">
        <f>Margin!K4</f>
        <v>1064434</v>
      </c>
      <c r="F5" s="516">
        <f>Margin!L4</f>
        <v>1209893</v>
      </c>
      <c r="G5" s="516">
        <f>Margin!M4</f>
        <v>1541634.5873578675</v>
      </c>
      <c r="H5" s="962">
        <f>'Drivers Cargo'!H24*10^3</f>
        <v>1852457.1931257001</v>
      </c>
      <c r="I5" s="778">
        <f>'Drivers Cargo'!I24*10^3</f>
        <v>2057815.5700450197</v>
      </c>
      <c r="J5" s="778">
        <f>'Drivers Cargo'!J24*10^3</f>
        <v>1793929.6094822579</v>
      </c>
      <c r="K5" s="778">
        <f>'Drivers Cargo'!K24*10^3</f>
        <v>1854026.2513999136</v>
      </c>
      <c r="L5" s="778">
        <f>'Drivers Cargo'!L24*10^3</f>
        <v>1714244.2567798342</v>
      </c>
      <c r="M5" s="778">
        <f>'Drivers Cargo'!M24*10^3</f>
        <v>1771671.4393819587</v>
      </c>
    </row>
    <row r="6" spans="1:21" x14ac:dyDescent="0.2">
      <c r="A6" s="485"/>
      <c r="B6" s="487" t="s">
        <v>499</v>
      </c>
      <c r="C6" s="518">
        <f>Margin!I5</f>
        <v>549889</v>
      </c>
      <c r="D6" s="518">
        <f>Margin!J5</f>
        <v>472758</v>
      </c>
      <c r="E6" s="518">
        <f>Margin!K5</f>
        <v>360864</v>
      </c>
      <c r="F6" s="518">
        <f>Margin!L5</f>
        <v>411002</v>
      </c>
      <c r="G6" s="518">
        <f>Margin!M5</f>
        <v>227331.16153707882</v>
      </c>
      <c r="H6" s="963" t="s">
        <v>58</v>
      </c>
      <c r="I6" s="753" t="s">
        <v>58</v>
      </c>
      <c r="J6" s="753" t="s">
        <v>58</v>
      </c>
      <c r="K6" s="753" t="s">
        <v>58</v>
      </c>
      <c r="L6" s="753" t="s">
        <v>58</v>
      </c>
      <c r="M6" s="753" t="s">
        <v>58</v>
      </c>
    </row>
    <row r="7" spans="1:21" x14ac:dyDescent="0.2">
      <c r="A7" s="485"/>
      <c r="B7" s="500" t="s">
        <v>10</v>
      </c>
      <c r="C7" s="519">
        <f>SUM(C4:C6)</f>
        <v>10163796</v>
      </c>
      <c r="D7" s="519">
        <f t="shared" ref="D7:M7" si="0">SUM(D4:D6)</f>
        <v>10368214</v>
      </c>
      <c r="E7" s="519">
        <f>SUM(E4:E6)</f>
        <v>10430927</v>
      </c>
      <c r="F7" s="519">
        <f t="shared" si="0"/>
        <v>4334669</v>
      </c>
      <c r="G7" s="519">
        <f t="shared" si="0"/>
        <v>5111346.3210526919</v>
      </c>
      <c r="H7" s="957">
        <f t="shared" si="0"/>
        <v>9612274.4386785552</v>
      </c>
      <c r="I7" s="520">
        <f t="shared" si="0"/>
        <v>11304095.463798983</v>
      </c>
      <c r="J7" s="520">
        <f t="shared" si="0"/>
        <v>12023710.91370046</v>
      </c>
      <c r="K7" s="520">
        <f t="shared" si="0"/>
        <v>12434026.5618679</v>
      </c>
      <c r="L7" s="520">
        <f t="shared" si="0"/>
        <v>12826250.596193792</v>
      </c>
      <c r="M7" s="520">
        <f t="shared" si="0"/>
        <v>13475695.021472538</v>
      </c>
    </row>
    <row r="8" spans="1:21" x14ac:dyDescent="0.2">
      <c r="A8" s="485"/>
      <c r="B8" s="488"/>
      <c r="C8" s="518"/>
      <c r="D8" s="518"/>
      <c r="E8" s="518"/>
      <c r="F8" s="518"/>
      <c r="G8" s="518"/>
      <c r="H8" s="960"/>
      <c r="I8" s="961"/>
      <c r="J8" s="961"/>
      <c r="K8" s="961"/>
      <c r="L8" s="961"/>
      <c r="M8" s="961"/>
    </row>
    <row r="9" spans="1:21" x14ac:dyDescent="0.2">
      <c r="A9" s="485"/>
      <c r="B9" s="501" t="s">
        <v>11</v>
      </c>
      <c r="C9" s="516"/>
      <c r="D9" s="516"/>
      <c r="E9" s="521"/>
      <c r="F9" s="521"/>
      <c r="G9" s="521"/>
      <c r="H9" s="960"/>
      <c r="I9" s="961"/>
      <c r="J9" s="961"/>
      <c r="K9" s="961"/>
      <c r="L9" s="961"/>
      <c r="M9" s="961"/>
    </row>
    <row r="10" spans="1:21" x14ac:dyDescent="0.2">
      <c r="A10" s="485"/>
      <c r="B10" s="487" t="s">
        <v>12</v>
      </c>
      <c r="C10" s="521">
        <f>Margin!I9</f>
        <v>-2023634</v>
      </c>
      <c r="D10" s="521">
        <f>Margin!J9</f>
        <v>-1819969</v>
      </c>
      <c r="E10" s="521">
        <f>Margin!K9</f>
        <v>-1794762</v>
      </c>
      <c r="F10" s="521">
        <f>Margin!L9+150000</f>
        <v>-812060</v>
      </c>
      <c r="G10" s="521">
        <f>Margin!M9</f>
        <v>-1041899.823286155</v>
      </c>
      <c r="H10" s="960">
        <f>E10*(1-27%)</f>
        <v>-1310176.26</v>
      </c>
      <c r="I10" s="961">
        <f>$H$10/$H$7*I7*(1.02)</f>
        <v>-1571591.0697477702</v>
      </c>
      <c r="J10" s="961">
        <f t="shared" ref="J10" si="1">$H$10/$H$7*J7*(1.02)</f>
        <v>-1671638.1029968692</v>
      </c>
      <c r="K10" s="961">
        <f>$H$10/$H$7*K7*(1.02)</f>
        <v>-1728683.6587870538</v>
      </c>
      <c r="L10" s="961">
        <f>$H$10/$H$7*L7*(1.02)</f>
        <v>-1783213.9652287385</v>
      </c>
      <c r="M10" s="961">
        <f>$H$10/$H$7*M7*(1.02)</f>
        <v>-1873505.2284557861</v>
      </c>
      <c r="O10" s="725"/>
      <c r="P10" s="725"/>
      <c r="Q10" s="725"/>
      <c r="R10" s="725"/>
      <c r="S10" s="725"/>
      <c r="T10" s="725"/>
      <c r="U10" s="725"/>
    </row>
    <row r="11" spans="1:21" x14ac:dyDescent="0.2">
      <c r="A11" s="485"/>
      <c r="B11" s="487" t="s">
        <v>13</v>
      </c>
      <c r="C11" s="521">
        <f>Margin!I10</f>
        <v>-2318815</v>
      </c>
      <c r="D11" s="521">
        <f>Margin!J10</f>
        <v>-2983028</v>
      </c>
      <c r="E11" s="521">
        <f>Margin!K10</f>
        <v>-2929008</v>
      </c>
      <c r="F11" s="521">
        <f>Margin!L10</f>
        <v>-1045343</v>
      </c>
      <c r="G11" s="521">
        <f>Margin!M10</f>
        <v>-1487776.5480146292</v>
      </c>
      <c r="H11" s="960">
        <f>-(SUM('Forecast Drivers'!H25,'Forecast Drivers'!H68,'Forecast Drivers'!H113)/SUM('Forecast Drivers'!$E$25,'Forecast Drivers'!$E$68,'Forecast Drivers'!$E$113))*ABS($E$11)*'Forecast Drivers'!H10/'Forecast Drivers'!$E$10*((1-5.3%)^(1/9))^(H2-$G$2)</f>
        <v>-4367234.6628663298</v>
      </c>
      <c r="I11" s="961">
        <f>-(SUM('Forecast Drivers'!I25,'Forecast Drivers'!I68,'Forecast Drivers'!I113)/SUM('Forecast Drivers'!$E$25,'Forecast Drivers'!$E$68,'Forecast Drivers'!$E$113))*ABS($E$11)*'Forecast Drivers'!I10/'Forecast Drivers'!$E$10*((1-5.3%)^(1/9))^(I2-$G$2)</f>
        <v>-4523759.3561820053</v>
      </c>
      <c r="J11" s="961">
        <f>-(SUM('Forecast Drivers'!J25,'Forecast Drivers'!J68,'Forecast Drivers'!J113)/SUM('Forecast Drivers'!$E$25,'Forecast Drivers'!$E$68,'Forecast Drivers'!$E$113))*ABS($E$11)*'Forecast Drivers'!J10/'Forecast Drivers'!$E$10*((1-5.3%)^(1/9))^(J2-$G$2)</f>
        <v>-3974406.6631577192</v>
      </c>
      <c r="K11" s="961">
        <f>-(SUM('Forecast Drivers'!K25,'Forecast Drivers'!K68,'Forecast Drivers'!K113)/SUM('Forecast Drivers'!$E$25,'Forecast Drivers'!$E$68,'Forecast Drivers'!$E$113))*ABS($E$11)*'Forecast Drivers'!K10/'Forecast Drivers'!$E$10*((1-5.3%)^(1/9))^(K2-$G$2)</f>
        <v>-4109796.2931777425</v>
      </c>
      <c r="L11" s="961">
        <f>-(SUM('Forecast Drivers'!L25,'Forecast Drivers'!L68,'Forecast Drivers'!L113)/SUM('Forecast Drivers'!$E$25,'Forecast Drivers'!$E$68,'Forecast Drivers'!$E$113))*ABS($E$11)*'Forecast Drivers'!L10/'Forecast Drivers'!$E$10*((1-5.3%)^(1/9))^(L2-$G$2)</f>
        <v>-4234285.2282606373</v>
      </c>
      <c r="M11" s="961">
        <f>-(SUM('Forecast Drivers'!M25,'Forecast Drivers'!M68,'Forecast Drivers'!M113)/SUM('Forecast Drivers'!$E$25,'Forecast Drivers'!$E$68,'Forecast Drivers'!$E$113))*ABS($E$11)*'Forecast Drivers'!M10/'Forecast Drivers'!$E$10*((1-5.3%)^(1/9))^(M2-$G$2)</f>
        <v>-4364667.2412674548</v>
      </c>
      <c r="O11" s="725"/>
      <c r="P11" s="725"/>
      <c r="Q11" s="725"/>
      <c r="R11" s="725"/>
      <c r="S11" s="725"/>
      <c r="T11" s="725"/>
    </row>
    <row r="12" spans="1:21" x14ac:dyDescent="0.2">
      <c r="A12" s="485"/>
      <c r="B12" s="487" t="s">
        <v>14</v>
      </c>
      <c r="C12" s="521">
        <f>Margin!I11+(Margin!I17-SUM(C18:C19))</f>
        <v>-395521</v>
      </c>
      <c r="D12" s="521">
        <f>Margin!J11+(Margin!J17-SUM(D18:D19))</f>
        <v>-142719</v>
      </c>
      <c r="E12" s="521">
        <f>Margin!K11+(Margin!K17-SUM(E18:E19))</f>
        <v>-354679</v>
      </c>
      <c r="F12" s="521">
        <f>Margin!L11+(Margin!L17-SUM(F18:F19)-150000)</f>
        <v>-34992</v>
      </c>
      <c r="G12" s="521">
        <f>Margin!M11+(Margin!M17-SUM(G18:G19))</f>
        <v>-73315.183110481274</v>
      </c>
      <c r="H12" s="960">
        <f>-SUM('Forecast Drivers'!H25,'Forecast Drivers'!H68,'Forecast Drivers'!H113)/SUM('Forecast Drivers'!$E$25,'Forecast Drivers'!$E$68,'Forecast Drivers'!$E$113)*ABS($E$12)</f>
        <v>-288514.76937699551</v>
      </c>
      <c r="I12" s="961">
        <f>-SUM('Forecast Drivers'!I25,'Forecast Drivers'!I68,'Forecast Drivers'!I113)/SUM('Forecast Drivers'!$E$25,'Forecast Drivers'!$E$68,'Forecast Drivers'!$E$113)*ABS($E$12)</f>
        <v>-332675.80955580593</v>
      </c>
      <c r="J12" s="961">
        <f>-SUM('Forecast Drivers'!J25,'Forecast Drivers'!J68,'Forecast Drivers'!J113)/SUM('Forecast Drivers'!$E$25,'Forecast Drivers'!$E$68,'Forecast Drivers'!$E$113)*ABS($E$12)</f>
        <v>-383006.85520342842</v>
      </c>
      <c r="K12" s="961">
        <f>-SUM('Forecast Drivers'!K25,'Forecast Drivers'!K68,'Forecast Drivers'!K113)/SUM('Forecast Drivers'!$E$25,'Forecast Drivers'!$E$68,'Forecast Drivers'!$E$113)*ABS($E$12)</f>
        <v>-398457.78934818978</v>
      </c>
      <c r="L12" s="961">
        <f>-SUM('Forecast Drivers'!L25,'Forecast Drivers'!L68,'Forecast Drivers'!L113)/SUM('Forecast Drivers'!$E$25,'Forecast Drivers'!$E$68,'Forecast Drivers'!$E$113)*ABS($E$12)</f>
        <v>-413018.88945730694</v>
      </c>
      <c r="M12" s="961">
        <f>-SUM('Forecast Drivers'!M25,'Forecast Drivers'!M68,'Forecast Drivers'!M113)/SUM('Forecast Drivers'!$E$25,'Forecast Drivers'!$E$68,'Forecast Drivers'!$E$113)*ABS($E$12)</f>
        <v>-428320.36537777877</v>
      </c>
      <c r="O12" s="725"/>
      <c r="P12" s="725"/>
      <c r="Q12" s="725"/>
      <c r="R12" s="725"/>
      <c r="S12" s="725"/>
      <c r="T12" s="725"/>
    </row>
    <row r="13" spans="1:21" x14ac:dyDescent="0.2">
      <c r="A13" s="485"/>
      <c r="B13" s="487" t="s">
        <v>15</v>
      </c>
      <c r="C13" s="521">
        <f>Margin!I12</f>
        <v>-1001625</v>
      </c>
      <c r="D13" s="521">
        <f>Margin!J12</f>
        <v>-1372628</v>
      </c>
      <c r="E13" s="521">
        <f>Margin!K12</f>
        <v>-1469976</v>
      </c>
      <c r="F13" s="521">
        <f>Margin!L12</f>
        <v>-1389387</v>
      </c>
      <c r="G13" s="521">
        <f>Margin!M12</f>
        <v>-1165394.1617727559</v>
      </c>
      <c r="H13" s="960">
        <f>-'Capex.'!AV94</f>
        <v>-1183741.594526784</v>
      </c>
      <c r="I13" s="960">
        <f>-'Capex.'!AW94</f>
        <v>-1248559.3436307937</v>
      </c>
      <c r="J13" s="960">
        <f>-'Capex.'!AX94</f>
        <v>-1275538.5290748707</v>
      </c>
      <c r="K13" s="960">
        <f>-'Capex.'!AY94</f>
        <v>-1319446.7354602476</v>
      </c>
      <c r="L13" s="960">
        <f>-'Capex.'!AZ94</f>
        <v>-1363935.3597539051</v>
      </c>
      <c r="M13" s="960">
        <f>-'Capex.'!BA94</f>
        <v>-1424148.6632293463</v>
      </c>
      <c r="O13" s="725"/>
      <c r="P13" s="725"/>
      <c r="Q13" s="725"/>
      <c r="R13" s="725"/>
      <c r="S13" s="725"/>
      <c r="T13" s="725"/>
    </row>
    <row r="14" spans="1:21" x14ac:dyDescent="0.2">
      <c r="A14" s="485"/>
      <c r="B14" s="487" t="s">
        <v>16</v>
      </c>
      <c r="C14" s="521">
        <f>Margin!I13</f>
        <v>-1172129</v>
      </c>
      <c r="D14" s="521">
        <f>Margin!J13</f>
        <v>-1206881</v>
      </c>
      <c r="E14" s="521">
        <f>Margin!K13</f>
        <v>-1275859</v>
      </c>
      <c r="F14" s="521">
        <f>Margin!L13</f>
        <v>-720004</v>
      </c>
      <c r="G14" s="521">
        <f>Margin!M13</f>
        <v>-755187.95924240898</v>
      </c>
      <c r="H14" s="960">
        <f>-(SUM('Forecast Drivers'!H25,'Forecast Drivers'!H68,'Forecast Drivers'!H113)/SUM('Forecast Drivers'!$E$25,'Forecast Drivers'!$E$68,'Forecast Drivers'!$E$113))*ABS($E$14)</f>
        <v>-1037851.5929687524</v>
      </c>
      <c r="I14" s="961">
        <f>-(SUM('Forecast Drivers'!I25,'Forecast Drivers'!I68,'Forecast Drivers'!I113)/SUM('Forecast Drivers'!$E$25,'Forecast Drivers'!$E$68,'Forecast Drivers'!$E$113))*ABS($E$14)</f>
        <v>-1196708.6455754668</v>
      </c>
      <c r="J14" s="961">
        <f>-(SUM('Forecast Drivers'!J25,'Forecast Drivers'!J68,'Forecast Drivers'!J113)/SUM('Forecast Drivers'!$E$25,'Forecast Drivers'!$E$68,'Forecast Drivers'!$E$113))*ABS($E$14)</f>
        <v>-1377760.5758248754</v>
      </c>
      <c r="K14" s="961">
        <f>-(SUM('Forecast Drivers'!K25,'Forecast Drivers'!K68,'Forecast Drivers'!K113)/SUM('Forecast Drivers'!$E$25,'Forecast Drivers'!$E$68,'Forecast Drivers'!$E$113))*ABS($E$14)</f>
        <v>-1433341.0116189346</v>
      </c>
      <c r="L14" s="961">
        <f>-(SUM('Forecast Drivers'!L25,'Forecast Drivers'!L68,'Forecast Drivers'!L113)/SUM('Forecast Drivers'!$E$25,'Forecast Drivers'!$E$68,'Forecast Drivers'!$E$113))*ABS($E$14)</f>
        <v>-1485720.5170988701</v>
      </c>
      <c r="M14" s="961">
        <f>-(SUM('Forecast Drivers'!M25,'Forecast Drivers'!M68,'Forecast Drivers'!M113)/SUM('Forecast Drivers'!$E$25,'Forecast Drivers'!$E$68,'Forecast Drivers'!$E$113))*ABS($E$14)</f>
        <v>-1540763.3185233055</v>
      </c>
      <c r="O14" s="725"/>
      <c r="P14" s="725"/>
      <c r="Q14" s="725"/>
      <c r="R14" s="725"/>
      <c r="S14" s="725"/>
      <c r="T14" s="725"/>
    </row>
    <row r="15" spans="1:21" x14ac:dyDescent="0.2">
      <c r="A15" s="485"/>
      <c r="B15" s="487" t="s">
        <v>17</v>
      </c>
      <c r="C15" s="521">
        <f>Margin!I14</f>
        <v>-288662</v>
      </c>
      <c r="D15" s="521">
        <f>Margin!J14</f>
        <v>-280279</v>
      </c>
      <c r="E15" s="521">
        <f>Margin!K14</f>
        <v>-261330</v>
      </c>
      <c r="F15" s="521">
        <f>Margin!L14</f>
        <v>-97689</v>
      </c>
      <c r="G15" s="521">
        <f>Margin!M14</f>
        <v>-77362.937950207517</v>
      </c>
      <c r="H15" s="960">
        <f>-SUM('Forecast Drivers'!H25,'Forecast Drivers'!H68,'Forecast Drivers'!H113)/SUM('Forecast Drivers'!$E$25,'Forecast Drivers'!$E$68,'Forecast Drivers'!$E$113)*ABS($E$15)</f>
        <v>-212579.72612218439</v>
      </c>
      <c r="I15" s="961">
        <f>-SUM('Forecast Drivers'!I25,'Forecast Drivers'!I68,'Forecast Drivers'!I113)/SUM('Forecast Drivers'!$E$25,'Forecast Drivers'!$E$68,'Forecast Drivers'!$E$113)*ABS($E$15)*1.05</f>
        <v>-257373.78806407962</v>
      </c>
      <c r="J15" s="961">
        <f>-SUM('Forecast Drivers'!J25,'Forecast Drivers'!J68,'Forecast Drivers'!J113)/SUM('Forecast Drivers'!$E$25,'Forecast Drivers'!$E$68,'Forecast Drivers'!$E$113)*ABS($E$15)*1.05</f>
        <v>-296312.27262913098</v>
      </c>
      <c r="K15" s="961">
        <f>-SUM('Forecast Drivers'!K25,'Forecast Drivers'!K68,'Forecast Drivers'!K113)/SUM('Forecast Drivers'!$E$25,'Forecast Drivers'!$E$68,'Forecast Drivers'!$E$113)*ABS($E$15)*1.05</f>
        <v>-308265.84825963917</v>
      </c>
      <c r="L15" s="961">
        <f>-SUM('Forecast Drivers'!L25,'Forecast Drivers'!L68,'Forecast Drivers'!L113)/SUM('Forecast Drivers'!$E$25,'Forecast Drivers'!$E$68,'Forecast Drivers'!$E$113)*ABS($E$15)*1.05</f>
        <v>-319531.00606737897</v>
      </c>
      <c r="M15" s="961">
        <f>-SUM('Forecast Drivers'!M25,'Forecast Drivers'!M68,'Forecast Drivers'!M113)/SUM('Forecast Drivers'!$E$25,'Forecast Drivers'!$E$68,'Forecast Drivers'!$E$113)*ABS($E$15)*1.05</f>
        <v>-331368.95372543536</v>
      </c>
      <c r="O15" s="725"/>
      <c r="P15" s="725"/>
      <c r="Q15" s="725"/>
      <c r="R15" s="725"/>
      <c r="S15" s="725"/>
      <c r="T15" s="725"/>
    </row>
    <row r="16" spans="1:21" x14ac:dyDescent="0.2">
      <c r="A16" s="485"/>
      <c r="B16" s="487" t="s">
        <v>18</v>
      </c>
      <c r="C16" s="521">
        <f>Margin!I15</f>
        <v>-579552</v>
      </c>
      <c r="D16" s="521">
        <f>Margin!J15</f>
        <v>0</v>
      </c>
      <c r="E16" s="521">
        <f>Margin!K15</f>
        <v>0</v>
      </c>
      <c r="F16" s="521">
        <f>Margin!L15</f>
        <v>0</v>
      </c>
      <c r="G16" s="521">
        <f>Margin!M15</f>
        <v>-120629</v>
      </c>
      <c r="H16" s="960">
        <v>-197000</v>
      </c>
      <c r="I16" s="961">
        <v>-109000</v>
      </c>
      <c r="J16" s="961">
        <v>-15000</v>
      </c>
      <c r="K16" s="961"/>
      <c r="L16" s="961"/>
      <c r="M16" s="961"/>
      <c r="O16" s="725"/>
      <c r="P16" s="725"/>
      <c r="Q16" s="725"/>
      <c r="R16" s="725"/>
      <c r="S16" s="725"/>
      <c r="T16" s="725"/>
    </row>
    <row r="17" spans="1:28" x14ac:dyDescent="0.2">
      <c r="A17" s="485"/>
      <c r="B17" s="487" t="s">
        <v>19</v>
      </c>
      <c r="C17" s="521">
        <f>Margin!I16</f>
        <v>-430824</v>
      </c>
      <c r="D17" s="521">
        <f>Margin!J16</f>
        <v>-366627</v>
      </c>
      <c r="E17" s="521">
        <f>Margin!K16</f>
        <v>-444612</v>
      </c>
      <c r="F17" s="521">
        <f>Margin!L16</f>
        <v>-472382</v>
      </c>
      <c r="G17" s="521">
        <f>Margin!M16</f>
        <v>-533738.54935394623</v>
      </c>
      <c r="H17" s="960">
        <f>-SUM('Forecast Drivers'!H25,'Forecast Drivers'!H68,'Forecast Drivers'!H113)/SUM('Forecast Drivers'!$E$25,'Forecast Drivers'!$E$68,'Forecast Drivers'!$E$113)*ABS(E17)</f>
        <v>-361671.05648274842</v>
      </c>
      <c r="I17" s="961">
        <f>-SUM('Forecast Drivers'!I25,'Forecast Drivers'!I68,'Forecast Drivers'!I113)/SUM('Forecast Drivers'!$E$25,'Forecast Drivers'!$E$68,'Forecast Drivers'!$E$113)*ABS(F17)</f>
        <v>-443076.87872580759</v>
      </c>
      <c r="J17" s="961">
        <f>-SUM('Forecast Drivers'!J25,'Forecast Drivers'!J68,'Forecast Drivers'!J113)/SUM('Forecast Drivers'!$E$25,'Forecast Drivers'!$E$68,'Forecast Drivers'!$E$113)*ABS(G17)</f>
        <v>-576367.7107719793</v>
      </c>
      <c r="K17" s="961">
        <f>-SUM('Forecast Drivers'!K25,'Forecast Drivers'!K68,'Forecast Drivers'!K113)/SUM('Forecast Drivers'!$E$25,'Forecast Drivers'!$E$68,'Forecast Drivers'!$E$113)*ABS(H17)</f>
        <v>-406312.89035251655</v>
      </c>
      <c r="L17" s="961">
        <f>-SUM('Forecast Drivers'!L25,'Forecast Drivers'!L68,'Forecast Drivers'!L113)/SUM('Forecast Drivers'!$E$25,'Forecast Drivers'!$E$68,'Forecast Drivers'!$E$113)*ABS(I17)</f>
        <v>-515957.02140680142</v>
      </c>
      <c r="M17" s="961">
        <f>-SUM('Forecast Drivers'!M25,'Forecast Drivers'!M68,'Forecast Drivers'!M113)/SUM('Forecast Drivers'!$E$25,'Forecast Drivers'!$E$68,'Forecast Drivers'!$E$113)*ABS(J17)</f>
        <v>-696037.90602152399</v>
      </c>
      <c r="N17" s="661"/>
      <c r="O17" s="725"/>
      <c r="P17" s="725"/>
      <c r="Q17" s="725"/>
      <c r="R17" s="725"/>
      <c r="S17" s="725"/>
      <c r="T17" s="725"/>
    </row>
    <row r="18" spans="1:28" x14ac:dyDescent="0.2">
      <c r="A18" s="485"/>
      <c r="B18" s="487" t="s">
        <v>20</v>
      </c>
      <c r="C18" s="516">
        <v>-873000</v>
      </c>
      <c r="D18" s="516">
        <v>-952800</v>
      </c>
      <c r="E18" s="516">
        <v>-736300</v>
      </c>
      <c r="F18" s="516">
        <v>-735200</v>
      </c>
      <c r="G18" s="516">
        <v>-439494</v>
      </c>
      <c r="H18" s="962">
        <f>-SUM('Forecast Drivers'!H25,'Forecast Drivers'!H68,'Forecast Drivers'!H113)/SUM('Forecast Drivers'!$E$25,'Forecast Drivers'!$E$68,'Forecast Drivers'!$E$113)*ABS(E18)</f>
        <v>-598945.59500923881</v>
      </c>
      <c r="I18" s="778">
        <f>-SUM('Forecast Drivers'!I25,'Forecast Drivers'!I68,'Forecast Drivers'!I113)/SUM('Forecast Drivers'!$E$25,'Forecast Drivers'!$E$68,'Forecast Drivers'!$E$113)*ABS(F18)</f>
        <v>-689590.46119287726</v>
      </c>
      <c r="J18" s="778">
        <f>-SUM('Forecast Drivers'!J25,'Forecast Drivers'!J68,'Forecast Drivers'!J113)/SUM('Forecast Drivers'!$E$25,'Forecast Drivers'!$E$68,'Forecast Drivers'!$E$113)*ABS(G18)</f>
        <v>-474595.94399661548</v>
      </c>
      <c r="K18" s="778">
        <f>-SUM('Forecast Drivers'!K25,'Forecast Drivers'!K68,'Forecast Drivers'!K113)/SUM('Forecast Drivers'!$E$25,'Forecast Drivers'!$E$68,'Forecast Drivers'!$E$113)*ABS(H18)</f>
        <v>-672874.73385009391</v>
      </c>
      <c r="L18" s="778">
        <f>-SUM('Forecast Drivers'!L25,'Forecast Drivers'!L68,'Forecast Drivers'!L113)/SUM('Forecast Drivers'!$E$25,'Forecast Drivers'!$E$68,'Forecast Drivers'!$E$113)*ABS(I18)</f>
        <v>-803018.74783179793</v>
      </c>
      <c r="M18" s="778">
        <f>-SUM('Forecast Drivers'!M25,'Forecast Drivers'!M68,'Forecast Drivers'!M113)/SUM('Forecast Drivers'!$E$25,'Forecast Drivers'!$E$68,'Forecast Drivers'!$E$113)*ABS(J18)</f>
        <v>-573135.44963034801</v>
      </c>
      <c r="N18" s="491"/>
      <c r="O18" s="725"/>
      <c r="P18" s="725"/>
      <c r="Q18" s="725"/>
      <c r="R18" s="725"/>
      <c r="S18" s="725"/>
      <c r="T18" s="725"/>
      <c r="U18" s="491"/>
      <c r="V18" s="491"/>
      <c r="W18" s="491"/>
      <c r="X18" s="491"/>
      <c r="Y18" s="491"/>
      <c r="Z18" s="491"/>
      <c r="AA18" s="491"/>
      <c r="AB18" s="491"/>
    </row>
    <row r="19" spans="1:28" x14ac:dyDescent="0.2">
      <c r="A19" s="485"/>
      <c r="B19" s="487" t="s">
        <v>21</v>
      </c>
      <c r="C19" s="516">
        <v>-365500</v>
      </c>
      <c r="D19" s="516">
        <v>-356300</v>
      </c>
      <c r="E19" s="516">
        <v>-422800</v>
      </c>
      <c r="F19" s="516">
        <v>-692900</v>
      </c>
      <c r="G19" s="516">
        <v>-535824</v>
      </c>
      <c r="H19" s="962">
        <f>AVERAGE($E$19:$G$19)</f>
        <v>-550508</v>
      </c>
      <c r="I19" s="778">
        <f>H19*1.02</f>
        <v>-561518.16</v>
      </c>
      <c r="J19" s="778">
        <f t="shared" ref="J19:M19" si="2">I19*1.02</f>
        <v>-572748.52320000005</v>
      </c>
      <c r="K19" s="778">
        <f t="shared" si="2"/>
        <v>-584203.49366400007</v>
      </c>
      <c r="L19" s="778">
        <f t="shared" si="2"/>
        <v>-595887.56353728008</v>
      </c>
      <c r="M19" s="778">
        <f t="shared" si="2"/>
        <v>-607805.31480802572</v>
      </c>
      <c r="N19" s="491"/>
      <c r="O19" s="725"/>
      <c r="P19" s="725"/>
      <c r="Q19" s="725"/>
      <c r="R19" s="725"/>
      <c r="S19" s="725"/>
      <c r="T19" s="725"/>
      <c r="U19" s="491"/>
      <c r="V19" s="491"/>
      <c r="W19" s="491"/>
    </row>
    <row r="20" spans="1:28" x14ac:dyDescent="0.2">
      <c r="A20" s="485"/>
      <c r="B20" s="500" t="s">
        <v>22</v>
      </c>
      <c r="C20" s="519">
        <f>SUM(C10:C19)</f>
        <v>-9449262</v>
      </c>
      <c r="D20" s="519">
        <f t="shared" ref="D20:G20" si="3">SUM(D10:D19)</f>
        <v>-9481231</v>
      </c>
      <c r="E20" s="519">
        <f t="shared" si="3"/>
        <v>-9689326</v>
      </c>
      <c r="F20" s="519">
        <f t="shared" si="3"/>
        <v>-5999957</v>
      </c>
      <c r="G20" s="519">
        <f t="shared" si="3"/>
        <v>-6230622.1627305839</v>
      </c>
      <c r="H20" s="957">
        <f>SUM(H10:H19)</f>
        <v>-10108223.257353034</v>
      </c>
      <c r="I20" s="520">
        <f t="shared" ref="I20:M20" si="4">SUM(I10:I19)</f>
        <v>-10933853.512674607</v>
      </c>
      <c r="J20" s="520">
        <f t="shared" si="4"/>
        <v>-10617375.17685549</v>
      </c>
      <c r="K20" s="520">
        <f t="shared" si="4"/>
        <v>-10961382.454518419</v>
      </c>
      <c r="L20" s="520">
        <f t="shared" si="4"/>
        <v>-11514568.298642714</v>
      </c>
      <c r="M20" s="520">
        <f t="shared" si="4"/>
        <v>-11839752.441039005</v>
      </c>
    </row>
    <row r="21" spans="1:28" x14ac:dyDescent="0.2">
      <c r="A21" s="485"/>
      <c r="B21" s="488"/>
      <c r="C21" s="523"/>
      <c r="D21" s="523"/>
      <c r="E21" s="523"/>
      <c r="F21" s="524"/>
      <c r="G21" s="523"/>
      <c r="H21" s="958"/>
      <c r="I21" s="507"/>
      <c r="J21" s="507"/>
      <c r="K21" s="522"/>
      <c r="L21" s="522"/>
      <c r="M21" s="522"/>
    </row>
    <row r="22" spans="1:28" x14ac:dyDescent="0.2">
      <c r="A22" s="485"/>
      <c r="B22" s="502" t="s">
        <v>513</v>
      </c>
      <c r="C22" s="519">
        <f>C7+C20</f>
        <v>714534</v>
      </c>
      <c r="D22" s="519">
        <f t="shared" ref="D22:M22" si="5">D7+D20</f>
        <v>886983</v>
      </c>
      <c r="E22" s="519">
        <f t="shared" si="5"/>
        <v>741601</v>
      </c>
      <c r="F22" s="519">
        <f t="shared" si="5"/>
        <v>-1665288</v>
      </c>
      <c r="G22" s="519">
        <f t="shared" si="5"/>
        <v>-1119275.841677892</v>
      </c>
      <c r="H22" s="957">
        <f t="shared" si="5"/>
        <v>-495948.81867447868</v>
      </c>
      <c r="I22" s="520">
        <f t="shared" si="5"/>
        <v>370241.95112437569</v>
      </c>
      <c r="J22" s="520">
        <f t="shared" si="5"/>
        <v>1406335.7368449699</v>
      </c>
      <c r="K22" s="520">
        <f t="shared" si="5"/>
        <v>1472644.1073494814</v>
      </c>
      <c r="L22" s="520">
        <f t="shared" si="5"/>
        <v>1311682.2975510787</v>
      </c>
      <c r="M22" s="520">
        <f t="shared" si="5"/>
        <v>1635942.5804335326</v>
      </c>
    </row>
    <row r="23" spans="1:28" x14ac:dyDescent="0.2">
      <c r="A23" s="485"/>
      <c r="B23" s="503" t="s">
        <v>514</v>
      </c>
      <c r="C23" s="526">
        <f>C22/C7</f>
        <v>7.0301883272745738E-2</v>
      </c>
      <c r="D23" s="526">
        <f t="shared" ref="D23:M23" si="6">D22/D7</f>
        <v>8.5548292116655766E-2</v>
      </c>
      <c r="E23" s="526">
        <f t="shared" si="6"/>
        <v>7.1096365644204004E-2</v>
      </c>
      <c r="F23" s="526">
        <f t="shared" si="6"/>
        <v>-0.38417881503754958</v>
      </c>
      <c r="G23" s="526">
        <f t="shared" si="6"/>
        <v>-0.21897867437935117</v>
      </c>
      <c r="H23" s="959">
        <f t="shared" si="6"/>
        <v>-5.1595366095545971E-2</v>
      </c>
      <c r="I23" s="527">
        <f t="shared" si="6"/>
        <v>3.275290378695616E-2</v>
      </c>
      <c r="J23" s="527">
        <f t="shared" si="6"/>
        <v>0.11696353537929091</v>
      </c>
      <c r="K23" s="527">
        <f t="shared" si="6"/>
        <v>0.11843662228177303</v>
      </c>
      <c r="L23" s="527">
        <f t="shared" si="6"/>
        <v>0.10226545066414984</v>
      </c>
      <c r="M23" s="527">
        <f t="shared" si="6"/>
        <v>0.12139949574599138</v>
      </c>
    </row>
    <row r="24" spans="1:28" x14ac:dyDescent="0.2">
      <c r="A24" s="485"/>
      <c r="B24" s="493"/>
      <c r="C24" s="523"/>
      <c r="D24" s="523"/>
      <c r="E24" s="523"/>
      <c r="F24" s="523"/>
      <c r="G24" s="523"/>
      <c r="H24" s="960">
        <v>1158</v>
      </c>
      <c r="I24" s="961">
        <v>2003</v>
      </c>
      <c r="J24" s="961">
        <v>2429</v>
      </c>
      <c r="K24" s="961">
        <v>2773</v>
      </c>
      <c r="L24" s="961">
        <v>3087</v>
      </c>
      <c r="M24" s="961">
        <v>3310</v>
      </c>
    </row>
    <row r="25" spans="1:28" x14ac:dyDescent="0.2">
      <c r="A25" s="485"/>
      <c r="B25" s="502" t="s">
        <v>515</v>
      </c>
      <c r="C25" s="519">
        <f>C22-C16-C13</f>
        <v>2295711</v>
      </c>
      <c r="D25" s="519">
        <f t="shared" ref="D25:G25" si="7">D22-D16-D13</f>
        <v>2259611</v>
      </c>
      <c r="E25" s="519">
        <f t="shared" si="7"/>
        <v>2211577</v>
      </c>
      <c r="F25" s="519">
        <f t="shared" si="7"/>
        <v>-275901</v>
      </c>
      <c r="G25" s="519">
        <f t="shared" si="7"/>
        <v>166747.32009486388</v>
      </c>
      <c r="H25" s="957">
        <f t="shared" ref="H25:M25" si="8">H7+SUM(H10:H12,H14:H15,H17:H19)</f>
        <v>884792.77585230768</v>
      </c>
      <c r="I25" s="520">
        <f t="shared" si="8"/>
        <v>1727801.2947551701</v>
      </c>
      <c r="J25" s="520">
        <f t="shared" si="8"/>
        <v>2696874.2659198418</v>
      </c>
      <c r="K25" s="520">
        <f t="shared" si="8"/>
        <v>2792090.8428097293</v>
      </c>
      <c r="L25" s="520">
        <f t="shared" si="8"/>
        <v>2675617.6573049817</v>
      </c>
      <c r="M25" s="520">
        <f t="shared" si="8"/>
        <v>3060091.2436628789</v>
      </c>
    </row>
    <row r="26" spans="1:28" x14ac:dyDescent="0.2">
      <c r="A26" s="485"/>
      <c r="B26" s="503" t="s">
        <v>516</v>
      </c>
      <c r="C26" s="526">
        <f>C25/C7</f>
        <v>0.22587141654555051</v>
      </c>
      <c r="D26" s="526">
        <f>D25/D7</f>
        <v>0.2179363774706039</v>
      </c>
      <c r="E26" s="526">
        <f t="shared" ref="E26:M26" si="9">E25/E7</f>
        <v>0.21202113675994472</v>
      </c>
      <c r="F26" s="526">
        <f t="shared" si="9"/>
        <v>-6.3649842698485171E-2</v>
      </c>
      <c r="G26" s="526">
        <f t="shared" si="9"/>
        <v>3.2622974383101855E-2</v>
      </c>
      <c r="H26" s="959">
        <f t="shared" si="9"/>
        <v>9.2048222457321388E-2</v>
      </c>
      <c r="I26" s="527">
        <f t="shared" si="9"/>
        <v>0.15284737290908418</v>
      </c>
      <c r="J26" s="527">
        <f t="shared" si="9"/>
        <v>0.22429633291057247</v>
      </c>
      <c r="K26" s="527">
        <f t="shared" si="9"/>
        <v>0.22455242707719356</v>
      </c>
      <c r="L26" s="527">
        <f t="shared" si="9"/>
        <v>0.20860481691344585</v>
      </c>
      <c r="M26" s="527">
        <f t="shared" si="9"/>
        <v>0.22708225726293496</v>
      </c>
    </row>
    <row r="27" spans="1:28" x14ac:dyDescent="0.2">
      <c r="A27" s="485"/>
      <c r="B27" s="493"/>
      <c r="C27" s="523"/>
      <c r="D27" s="523"/>
      <c r="E27" s="523"/>
      <c r="F27" s="523"/>
      <c r="G27" s="523"/>
      <c r="H27" s="960"/>
      <c r="I27" s="961"/>
      <c r="J27" s="961"/>
      <c r="K27" s="961"/>
      <c r="L27" s="961"/>
      <c r="M27" s="961"/>
    </row>
    <row r="28" spans="1:28" x14ac:dyDescent="0.2">
      <c r="A28" s="485"/>
      <c r="B28" s="502" t="s">
        <v>517</v>
      </c>
      <c r="C28" s="519">
        <f>C25+C16</f>
        <v>1716159</v>
      </c>
      <c r="D28" s="519">
        <f t="shared" ref="D28:M28" si="10">D25+D16</f>
        <v>2259611</v>
      </c>
      <c r="E28" s="519">
        <f t="shared" si="10"/>
        <v>2211577</v>
      </c>
      <c r="F28" s="519">
        <f t="shared" si="10"/>
        <v>-275901</v>
      </c>
      <c r="G28" s="519">
        <f t="shared" si="10"/>
        <v>46118.320094863884</v>
      </c>
      <c r="H28" s="957">
        <f t="shared" si="10"/>
        <v>687792.77585230768</v>
      </c>
      <c r="I28" s="520">
        <f t="shared" si="10"/>
        <v>1618801.2947551701</v>
      </c>
      <c r="J28" s="520">
        <f t="shared" si="10"/>
        <v>2681874.2659198418</v>
      </c>
      <c r="K28" s="520">
        <f t="shared" si="10"/>
        <v>2792090.8428097293</v>
      </c>
      <c r="L28" s="520">
        <f t="shared" si="10"/>
        <v>2675617.6573049817</v>
      </c>
      <c r="M28" s="520">
        <f t="shared" si="10"/>
        <v>3060091.2436628789</v>
      </c>
    </row>
    <row r="29" spans="1:28" x14ac:dyDescent="0.2">
      <c r="A29" s="485"/>
      <c r="B29" s="503" t="s">
        <v>518</v>
      </c>
      <c r="C29" s="526">
        <f>C28/C7</f>
        <v>0.16885020124370856</v>
      </c>
      <c r="D29" s="526">
        <f t="shared" ref="D29:M29" si="11">D28/D7</f>
        <v>0.2179363774706039</v>
      </c>
      <c r="E29" s="526">
        <f t="shared" si="11"/>
        <v>0.21202113675994472</v>
      </c>
      <c r="F29" s="526">
        <f t="shared" si="11"/>
        <v>-6.3649842698485171E-2</v>
      </c>
      <c r="G29" s="526">
        <f t="shared" si="11"/>
        <v>9.022734363529827E-3</v>
      </c>
      <c r="H29" s="959">
        <f>H28/H7</f>
        <v>7.1553593297827414E-2</v>
      </c>
      <c r="I29" s="527">
        <f t="shared" si="11"/>
        <v>0.14320484995365895</v>
      </c>
      <c r="J29" s="527">
        <f t="shared" si="11"/>
        <v>0.22304879792676741</v>
      </c>
      <c r="K29" s="527">
        <f t="shared" si="11"/>
        <v>0.22455242707719356</v>
      </c>
      <c r="L29" s="527">
        <f t="shared" si="11"/>
        <v>0.20860481691344585</v>
      </c>
      <c r="M29" s="527">
        <f t="shared" si="11"/>
        <v>0.22708225726293496</v>
      </c>
      <c r="N29" s="526"/>
    </row>
    <row r="30" spans="1:28" x14ac:dyDescent="0.2">
      <c r="A30" s="485"/>
      <c r="C30" s="523"/>
      <c r="D30" s="523"/>
      <c r="E30" s="523"/>
      <c r="F30" s="523"/>
      <c r="G30" s="523"/>
      <c r="H30" s="960"/>
      <c r="I30" s="961"/>
      <c r="J30" s="961"/>
      <c r="K30" s="961"/>
      <c r="L30" s="961"/>
      <c r="M30" s="961"/>
    </row>
    <row r="31" spans="1:28" x14ac:dyDescent="0.2">
      <c r="A31" s="485"/>
      <c r="B31" s="502" t="s">
        <v>519</v>
      </c>
      <c r="C31" s="519">
        <f>C7+C20</f>
        <v>714534</v>
      </c>
      <c r="D31" s="519">
        <f>D7+D20</f>
        <v>886983</v>
      </c>
      <c r="E31" s="519">
        <f>E7+E20</f>
        <v>741601</v>
      </c>
      <c r="F31" s="519">
        <f>F7+F20</f>
        <v>-1665288</v>
      </c>
      <c r="G31" s="519">
        <f>G7+G20</f>
        <v>-1119275.841677892</v>
      </c>
      <c r="H31" s="957">
        <f t="shared" ref="H31:M31" si="12">H7+H20</f>
        <v>-495948.81867447868</v>
      </c>
      <c r="I31" s="520">
        <f t="shared" si="12"/>
        <v>370241.95112437569</v>
      </c>
      <c r="J31" s="520">
        <f t="shared" si="12"/>
        <v>1406335.7368449699</v>
      </c>
      <c r="K31" s="520">
        <f t="shared" si="12"/>
        <v>1472644.1073494814</v>
      </c>
      <c r="L31" s="520">
        <f t="shared" si="12"/>
        <v>1311682.2975510787</v>
      </c>
      <c r="M31" s="520">
        <f t="shared" si="12"/>
        <v>1635942.5804335326</v>
      </c>
    </row>
    <row r="32" spans="1:28" x14ac:dyDescent="0.2">
      <c r="A32" s="485"/>
      <c r="B32" s="503" t="s">
        <v>520</v>
      </c>
      <c r="C32" s="526">
        <f>C31/C7</f>
        <v>7.0301883272745738E-2</v>
      </c>
      <c r="D32" s="526">
        <f t="shared" ref="D32:M32" si="13">D31/D7</f>
        <v>8.5548292116655766E-2</v>
      </c>
      <c r="E32" s="526">
        <f t="shared" si="13"/>
        <v>7.1096365644204004E-2</v>
      </c>
      <c r="F32" s="526">
        <f t="shared" si="13"/>
        <v>-0.38417881503754958</v>
      </c>
      <c r="G32" s="526">
        <f t="shared" si="13"/>
        <v>-0.21897867437935117</v>
      </c>
      <c r="H32" s="959">
        <f t="shared" si="13"/>
        <v>-5.1595366095545971E-2</v>
      </c>
      <c r="I32" s="527">
        <f t="shared" si="13"/>
        <v>3.275290378695616E-2</v>
      </c>
      <c r="J32" s="527">
        <f t="shared" si="13"/>
        <v>0.11696353537929091</v>
      </c>
      <c r="K32" s="527">
        <f t="shared" si="13"/>
        <v>0.11843662228177303</v>
      </c>
      <c r="L32" s="527">
        <f t="shared" si="13"/>
        <v>0.10226545066414984</v>
      </c>
      <c r="M32" s="527">
        <f t="shared" si="13"/>
        <v>0.12139949574599138</v>
      </c>
    </row>
    <row r="33" spans="1:19" x14ac:dyDescent="0.2">
      <c r="A33" s="485"/>
      <c r="B33" s="488"/>
      <c r="C33" s="523"/>
      <c r="D33" s="523"/>
      <c r="E33" s="523"/>
      <c r="F33" s="523"/>
      <c r="G33" s="523"/>
      <c r="H33" s="961"/>
      <c r="I33" s="961"/>
      <c r="J33" s="961"/>
      <c r="K33" s="961"/>
      <c r="L33" s="961"/>
      <c r="M33" s="961"/>
    </row>
    <row r="34" spans="1:19" x14ac:dyDescent="0.2">
      <c r="A34" s="485"/>
      <c r="B34" s="501" t="s">
        <v>521</v>
      </c>
      <c r="C34" s="523"/>
      <c r="D34" s="523"/>
      <c r="E34" s="523"/>
      <c r="F34" s="523"/>
      <c r="G34" s="523"/>
      <c r="H34" s="961"/>
      <c r="I34" s="961"/>
      <c r="J34" s="961"/>
      <c r="K34" s="961"/>
      <c r="L34" s="961"/>
      <c r="M34" s="961"/>
    </row>
    <row r="35" spans="1:19" x14ac:dyDescent="0.2">
      <c r="A35" s="485"/>
      <c r="B35" s="487" t="s">
        <v>522</v>
      </c>
      <c r="C35" s="523"/>
      <c r="D35" s="523"/>
      <c r="E35" s="523"/>
      <c r="F35" s="523"/>
      <c r="G35" s="523"/>
      <c r="H35" s="984">
        <f>-Sch_Deb!P43</f>
        <v>-769659.25162500003</v>
      </c>
      <c r="I35" s="984" t="e">
        <f>-Sch_Deb!Q43</f>
        <v>#REF!</v>
      </c>
      <c r="J35" s="984" t="e">
        <f>-Sch_Deb!R43</f>
        <v>#REF!</v>
      </c>
      <c r="K35" s="984" t="e">
        <f>-Sch_Deb!S43</f>
        <v>#REF!</v>
      </c>
      <c r="L35" s="984" t="e">
        <f>-Sch_Deb!T43</f>
        <v>#REF!</v>
      </c>
      <c r="M35" s="984" t="e">
        <f>-Sch_Deb!U43</f>
        <v>#REF!</v>
      </c>
    </row>
    <row r="36" spans="1:19" x14ac:dyDescent="0.2">
      <c r="A36" s="485"/>
      <c r="B36" s="487" t="s">
        <v>523</v>
      </c>
      <c r="C36" s="523"/>
      <c r="D36" s="523"/>
      <c r="E36" s="523"/>
      <c r="F36" s="523"/>
      <c r="G36" s="523"/>
      <c r="H36" s="961"/>
      <c r="I36" s="961"/>
      <c r="J36" s="961"/>
      <c r="K36" s="961"/>
      <c r="L36" s="961"/>
      <c r="M36" s="961"/>
    </row>
    <row r="37" spans="1:19" x14ac:dyDescent="0.2">
      <c r="A37" s="485"/>
      <c r="B37" s="487" t="s">
        <v>524</v>
      </c>
      <c r="C37" s="523"/>
      <c r="D37" s="523"/>
      <c r="E37" s="523"/>
      <c r="F37" s="523"/>
      <c r="G37" s="523"/>
      <c r="H37" s="961"/>
      <c r="I37" s="961"/>
      <c r="J37" s="961"/>
      <c r="K37" s="961"/>
      <c r="L37" s="961"/>
      <c r="M37" s="961"/>
    </row>
    <row r="38" spans="1:19" x14ac:dyDescent="0.2">
      <c r="A38" s="485"/>
      <c r="B38" s="487"/>
      <c r="C38" s="523"/>
      <c r="D38" s="523"/>
      <c r="E38" s="523"/>
      <c r="F38" s="523"/>
      <c r="G38" s="523"/>
      <c r="H38" s="961"/>
      <c r="I38" s="961"/>
      <c r="J38" s="961"/>
      <c r="K38" s="961"/>
      <c r="L38" s="961"/>
      <c r="M38" s="961"/>
    </row>
    <row r="39" spans="1:19" x14ac:dyDescent="0.2">
      <c r="A39" s="485"/>
      <c r="B39" s="502" t="s">
        <v>525</v>
      </c>
      <c r="C39" s="523"/>
      <c r="D39" s="523"/>
      <c r="E39" s="523"/>
      <c r="F39" s="523"/>
      <c r="G39" s="523"/>
      <c r="H39" s="985">
        <f>H31+H35</f>
        <v>-1265608.0702994787</v>
      </c>
      <c r="I39" s="985" t="e">
        <f t="shared" ref="I39:M39" si="14">I31+I35</f>
        <v>#REF!</v>
      </c>
      <c r="J39" s="985" t="e">
        <f t="shared" si="14"/>
        <v>#REF!</v>
      </c>
      <c r="K39" s="985" t="e">
        <f t="shared" si="14"/>
        <v>#REF!</v>
      </c>
      <c r="L39" s="985" t="e">
        <f t="shared" si="14"/>
        <v>#REF!</v>
      </c>
      <c r="M39" s="985" t="e">
        <f t="shared" si="14"/>
        <v>#REF!</v>
      </c>
    </row>
    <row r="40" spans="1:19" x14ac:dyDescent="0.2">
      <c r="A40" s="485"/>
      <c r="B40" s="494"/>
      <c r="C40" s="523"/>
      <c r="D40" s="523"/>
      <c r="E40" s="521"/>
      <c r="F40" s="521"/>
      <c r="G40" s="521"/>
      <c r="H40" s="961"/>
      <c r="I40" s="961"/>
      <c r="J40" s="961"/>
      <c r="K40" s="961"/>
      <c r="L40" s="961"/>
      <c r="M40" s="961"/>
    </row>
    <row r="41" spans="1:19" x14ac:dyDescent="0.2">
      <c r="A41" s="485"/>
      <c r="B41" s="487" t="s">
        <v>526</v>
      </c>
      <c r="C41" s="523"/>
      <c r="D41" s="523"/>
      <c r="E41" s="521"/>
      <c r="F41" s="521"/>
      <c r="G41" s="521"/>
      <c r="H41" s="961">
        <f t="shared" ref="H41:M41" si="15">-26%*H39</f>
        <v>329058.09827786445</v>
      </c>
      <c r="I41" s="961" t="e">
        <f t="shared" si="15"/>
        <v>#REF!</v>
      </c>
      <c r="J41" s="961" t="e">
        <f t="shared" si="15"/>
        <v>#REF!</v>
      </c>
      <c r="K41" s="961" t="e">
        <f t="shared" si="15"/>
        <v>#REF!</v>
      </c>
      <c r="L41" s="961" t="e">
        <f t="shared" si="15"/>
        <v>#REF!</v>
      </c>
      <c r="M41" s="961" t="e">
        <f t="shared" si="15"/>
        <v>#REF!</v>
      </c>
    </row>
    <row r="42" spans="1:19" x14ac:dyDescent="0.2">
      <c r="A42" s="485"/>
      <c r="B42" s="487"/>
      <c r="C42" s="523"/>
      <c r="D42" s="523"/>
      <c r="E42" s="521"/>
      <c r="F42" s="521"/>
      <c r="G42" s="521"/>
      <c r="H42" s="961"/>
      <c r="I42" s="961"/>
      <c r="J42" s="961"/>
      <c r="K42" s="961"/>
      <c r="L42" s="961"/>
      <c r="M42" s="961"/>
      <c r="N42" s="522"/>
      <c r="O42" s="522"/>
      <c r="P42" s="522"/>
      <c r="Q42" s="522"/>
      <c r="R42" s="522"/>
      <c r="S42" s="522"/>
    </row>
    <row r="43" spans="1:19" x14ac:dyDescent="0.2">
      <c r="A43" s="485"/>
      <c r="B43" s="502" t="s">
        <v>527</v>
      </c>
      <c r="C43" s="523"/>
      <c r="D43" s="523"/>
      <c r="E43" s="521"/>
      <c r="F43" s="521"/>
      <c r="G43" s="521"/>
      <c r="H43" s="985">
        <f t="shared" ref="H43:M43" si="16">H39+H41</f>
        <v>-936549.9720216142</v>
      </c>
      <c r="I43" s="985" t="e">
        <f t="shared" si="16"/>
        <v>#REF!</v>
      </c>
      <c r="J43" s="985" t="e">
        <f t="shared" si="16"/>
        <v>#REF!</v>
      </c>
      <c r="K43" s="985" t="e">
        <f t="shared" si="16"/>
        <v>#REF!</v>
      </c>
      <c r="L43" s="985" t="e">
        <f t="shared" si="16"/>
        <v>#REF!</v>
      </c>
      <c r="M43" s="985" t="e">
        <f t="shared" si="16"/>
        <v>#REF!</v>
      </c>
    </row>
    <row r="44" spans="1:19" x14ac:dyDescent="0.2">
      <c r="A44" s="485"/>
      <c r="B44" s="504" t="s">
        <v>528</v>
      </c>
      <c r="C44" s="523"/>
      <c r="D44" s="523"/>
      <c r="E44" s="521"/>
      <c r="F44" s="521"/>
      <c r="G44" s="521"/>
      <c r="H44" s="961"/>
      <c r="I44" s="961"/>
      <c r="J44" s="527"/>
      <c r="K44" s="961"/>
      <c r="L44" s="961"/>
      <c r="M44" s="961"/>
    </row>
    <row r="45" spans="1:19" x14ac:dyDescent="0.2">
      <c r="A45" s="485"/>
      <c r="B45" s="487" t="s">
        <v>529</v>
      </c>
      <c r="C45" s="523"/>
      <c r="D45" s="523"/>
      <c r="E45" s="521"/>
      <c r="F45" s="521"/>
      <c r="G45" s="521"/>
      <c r="H45" s="961"/>
      <c r="I45" s="961"/>
      <c r="J45" s="961"/>
      <c r="K45" s="961"/>
      <c r="L45" s="961"/>
      <c r="M45" s="961"/>
    </row>
    <row r="46" spans="1:19" x14ac:dyDescent="0.2">
      <c r="A46" s="485"/>
      <c r="B46" s="487" t="s">
        <v>530</v>
      </c>
      <c r="C46" s="523"/>
      <c r="D46" s="523"/>
      <c r="E46" s="521"/>
      <c r="F46" s="521"/>
      <c r="G46" s="521"/>
      <c r="H46" s="961"/>
      <c r="I46" s="961"/>
      <c r="J46" s="961"/>
      <c r="K46" s="961"/>
      <c r="L46" s="961"/>
      <c r="M46" s="961"/>
    </row>
    <row r="47" spans="1:19" x14ac:dyDescent="0.2">
      <c r="A47" s="485"/>
      <c r="B47" s="488"/>
      <c r="C47" s="523"/>
      <c r="D47" s="523"/>
      <c r="E47" s="521"/>
      <c r="F47" s="521"/>
      <c r="G47" s="521"/>
      <c r="H47" s="522"/>
      <c r="I47" s="522"/>
      <c r="J47" s="522"/>
      <c r="K47" s="522"/>
      <c r="L47" s="522"/>
      <c r="M47" s="522"/>
    </row>
    <row r="48" spans="1:19" x14ac:dyDescent="0.2">
      <c r="A48" s="485"/>
      <c r="B48" s="488"/>
      <c r="C48" s="523"/>
      <c r="D48" s="523"/>
      <c r="E48" s="521"/>
      <c r="F48" s="521"/>
      <c r="G48" s="521"/>
      <c r="H48" s="522"/>
      <c r="I48" s="522"/>
      <c r="J48" s="522"/>
      <c r="K48" s="522"/>
      <c r="L48" s="522"/>
      <c r="M48" s="522"/>
    </row>
    <row r="49" spans="1:13" x14ac:dyDescent="0.2">
      <c r="A49" s="485"/>
      <c r="B49" s="502" t="s">
        <v>531</v>
      </c>
      <c r="C49" s="523"/>
      <c r="D49" s="516"/>
      <c r="E49" s="521"/>
      <c r="F49" s="521"/>
      <c r="G49" s="521"/>
      <c r="H49" s="522"/>
      <c r="I49" s="522"/>
      <c r="J49" s="522"/>
      <c r="K49" s="522"/>
      <c r="L49" s="522"/>
      <c r="M49" s="522"/>
    </row>
    <row r="50" spans="1:13" x14ac:dyDescent="0.2">
      <c r="A50" s="485"/>
      <c r="B50" s="503" t="s">
        <v>532</v>
      </c>
      <c r="C50" s="525"/>
      <c r="D50" s="516"/>
      <c r="E50" s="521"/>
      <c r="F50" s="521"/>
      <c r="G50" s="521"/>
      <c r="H50" s="522"/>
      <c r="I50" s="522"/>
      <c r="J50" s="522"/>
      <c r="K50" s="522"/>
      <c r="L50" s="522"/>
      <c r="M50" s="522"/>
    </row>
    <row r="51" spans="1:13" x14ac:dyDescent="0.2">
      <c r="A51" s="495"/>
      <c r="C51" s="525"/>
      <c r="D51" s="516"/>
      <c r="E51" s="521"/>
      <c r="F51" s="521"/>
      <c r="G51" s="521"/>
      <c r="H51" s="522"/>
      <c r="I51" s="522"/>
      <c r="J51" s="522"/>
      <c r="K51" s="522"/>
      <c r="L51" s="522"/>
      <c r="M51" s="522"/>
    </row>
    <row r="52" spans="1:13" x14ac:dyDescent="0.2">
      <c r="C52" s="525"/>
      <c r="D52" s="516"/>
      <c r="E52" s="521"/>
      <c r="F52" s="521"/>
      <c r="G52" s="521"/>
      <c r="H52" s="522"/>
      <c r="I52" s="522"/>
      <c r="J52" s="522"/>
      <c r="K52" s="522"/>
      <c r="L52" s="522"/>
      <c r="M52" s="522"/>
    </row>
    <row r="53" spans="1:13" x14ac:dyDescent="0.2">
      <c r="C53" s="516"/>
      <c r="D53" s="516"/>
      <c r="E53" s="521"/>
      <c r="F53" s="521"/>
      <c r="G53" s="521"/>
      <c r="H53" s="522"/>
      <c r="I53" s="522"/>
      <c r="J53" s="522"/>
      <c r="K53" s="522"/>
      <c r="L53" s="522"/>
      <c r="M53" s="522"/>
    </row>
    <row r="54" spans="1:13" x14ac:dyDescent="0.2">
      <c r="B54" s="496"/>
      <c r="C54" s="497"/>
      <c r="D54" s="497"/>
      <c r="E54" s="489"/>
      <c r="F54" s="489"/>
      <c r="G54" s="489"/>
      <c r="H54" s="490"/>
      <c r="I54" s="490"/>
      <c r="J54" s="490"/>
      <c r="K54" s="490"/>
      <c r="L54" s="490"/>
      <c r="M54" s="490"/>
    </row>
    <row r="55" spans="1:13" x14ac:dyDescent="0.2">
      <c r="B55" s="490"/>
      <c r="C55" s="489"/>
      <c r="D55" s="489"/>
      <c r="E55" s="489"/>
      <c r="F55" s="489"/>
      <c r="G55" s="489"/>
      <c r="H55" s="490"/>
      <c r="I55" s="490"/>
      <c r="J55" s="490"/>
      <c r="K55" s="490"/>
      <c r="L55" s="490"/>
      <c r="M55" s="490"/>
    </row>
    <row r="56" spans="1:13" x14ac:dyDescent="0.2">
      <c r="B56" s="490"/>
      <c r="C56" s="489"/>
      <c r="D56" s="489"/>
      <c r="E56" s="489"/>
      <c r="F56" s="489"/>
      <c r="G56" s="489"/>
      <c r="H56" s="490"/>
      <c r="I56" s="490"/>
      <c r="J56" s="490"/>
      <c r="K56" s="490"/>
      <c r="L56" s="490"/>
      <c r="M56" s="490"/>
    </row>
    <row r="57" spans="1:13" x14ac:dyDescent="0.2">
      <c r="B57" s="490"/>
      <c r="C57" s="489"/>
      <c r="D57" s="489"/>
      <c r="E57" s="489"/>
      <c r="F57" s="489"/>
      <c r="G57" s="489"/>
      <c r="H57" s="490"/>
      <c r="I57" s="490"/>
      <c r="J57" s="490"/>
      <c r="K57" s="490"/>
      <c r="L57" s="490"/>
      <c r="M57" s="490"/>
    </row>
    <row r="58" spans="1:13" x14ac:dyDescent="0.2">
      <c r="B58" s="490"/>
      <c r="C58" s="489"/>
      <c r="D58" s="489"/>
      <c r="E58" s="489"/>
      <c r="F58" s="489"/>
      <c r="G58" s="489"/>
      <c r="H58" s="490"/>
      <c r="I58" s="490"/>
      <c r="J58" s="490"/>
      <c r="K58" s="490"/>
      <c r="L58" s="490"/>
      <c r="M58" s="490"/>
    </row>
    <row r="59" spans="1:13" x14ac:dyDescent="0.2">
      <c r="B59" s="490"/>
      <c r="C59" s="489"/>
      <c r="D59" s="489"/>
      <c r="E59" s="489"/>
      <c r="F59" s="489"/>
      <c r="G59" s="489"/>
      <c r="H59" s="490"/>
      <c r="I59" s="490"/>
      <c r="J59" s="490"/>
      <c r="K59" s="490"/>
      <c r="L59" s="490"/>
      <c r="M59" s="490"/>
    </row>
    <row r="60" spans="1:13" x14ac:dyDescent="0.2">
      <c r="B60" s="490"/>
      <c r="C60" s="489"/>
      <c r="D60" s="489"/>
      <c r="E60" s="489"/>
      <c r="F60" s="489"/>
      <c r="G60" s="489"/>
      <c r="H60" s="490"/>
      <c r="I60" s="490"/>
      <c r="J60" s="490"/>
      <c r="K60" s="490"/>
      <c r="L60" s="490"/>
      <c r="M60" s="490"/>
    </row>
    <row r="61" spans="1:13" x14ac:dyDescent="0.2">
      <c r="B61" s="490"/>
      <c r="C61" s="489"/>
      <c r="D61" s="489"/>
      <c r="E61" s="489"/>
      <c r="F61" s="489"/>
      <c r="G61" s="489"/>
      <c r="H61" s="490"/>
      <c r="I61" s="490"/>
      <c r="J61" s="490"/>
      <c r="K61" s="490"/>
      <c r="L61" s="490"/>
      <c r="M61" s="490"/>
    </row>
  </sheetData>
  <mergeCells count="1">
    <mergeCell ref="A1:B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E5598-8376-4165-BB92-42351347122C}">
  <sheetPr>
    <tabColor theme="4" tint="0.59999389629810485"/>
  </sheetPr>
  <dimension ref="A1:X92"/>
  <sheetViews>
    <sheetView zoomScale="105" zoomScaleNormal="96" workbookViewId="0">
      <pane xSplit="2" ySplit="2" topLeftCell="C51" activePane="bottomRight" state="frozen"/>
      <selection activeCell="F43" sqref="F43"/>
      <selection pane="topRight" activeCell="F43" sqref="F43"/>
      <selection pane="bottomLeft" activeCell="F43" sqref="F43"/>
      <selection pane="bottomRight" sqref="A1:B1"/>
    </sheetView>
  </sheetViews>
  <sheetFormatPr baseColWidth="10" defaultColWidth="10.83203125" defaultRowHeight="16" x14ac:dyDescent="0.2"/>
  <cols>
    <col min="1" max="1" width="10.83203125" style="484"/>
    <col min="2" max="2" width="48.83203125" style="484" customWidth="1"/>
    <col min="3" max="3" width="12.1640625" style="492" bestFit="1" customWidth="1"/>
    <col min="4" max="4" width="11" style="492" bestFit="1" customWidth="1"/>
    <col min="5" max="5" width="11" style="492" customWidth="1"/>
    <col min="6" max="6" width="11" style="492" bestFit="1" customWidth="1"/>
    <col min="7" max="7" width="11.33203125" style="492" bestFit="1" customWidth="1"/>
    <col min="8" max="8" width="11.83203125" style="484" customWidth="1"/>
    <col min="9" max="10" width="11.83203125" style="484" bestFit="1" customWidth="1"/>
    <col min="11" max="11" width="11" style="484" bestFit="1" customWidth="1"/>
    <col min="12" max="12" width="11.83203125" style="484" bestFit="1" customWidth="1"/>
    <col min="13" max="13" width="16.6640625" style="484" customWidth="1"/>
    <col min="14" max="16" width="10.83203125" style="484"/>
    <col min="17" max="17" width="38.1640625" style="484" bestFit="1" customWidth="1"/>
    <col min="18" max="24" width="10.83203125" style="484"/>
    <col min="25" max="25" width="40" style="484" bestFit="1" customWidth="1"/>
    <col min="26" max="16384" width="10.83203125" style="484"/>
  </cols>
  <sheetData>
    <row r="1" spans="1:13" x14ac:dyDescent="0.2">
      <c r="A1" s="1162" t="s">
        <v>379</v>
      </c>
      <c r="B1" s="1162"/>
      <c r="C1" s="505">
        <v>2017</v>
      </c>
      <c r="D1" s="505">
        <v>2018</v>
      </c>
      <c r="E1" s="505">
        <v>2019</v>
      </c>
      <c r="F1" s="505">
        <v>2020</v>
      </c>
      <c r="G1" s="505">
        <v>2021</v>
      </c>
      <c r="H1" s="498" t="s">
        <v>0</v>
      </c>
      <c r="I1" s="498" t="s">
        <v>1</v>
      </c>
      <c r="J1" s="498" t="s">
        <v>2</v>
      </c>
      <c r="K1" s="498" t="s">
        <v>3</v>
      </c>
      <c r="L1" s="498" t="s">
        <v>4</v>
      </c>
      <c r="M1" s="498" t="s">
        <v>5</v>
      </c>
    </row>
    <row r="2" spans="1:13" hidden="1" x14ac:dyDescent="0.2">
      <c r="A2" s="529"/>
      <c r="B2" s="529"/>
      <c r="C2" s="530">
        <v>2017</v>
      </c>
      <c r="D2" s="530">
        <v>2018</v>
      </c>
      <c r="E2" s="530">
        <v>2019</v>
      </c>
      <c r="F2" s="530">
        <v>2020</v>
      </c>
      <c r="G2" s="530">
        <v>2021</v>
      </c>
      <c r="H2" s="530">
        <v>2022</v>
      </c>
      <c r="I2" s="530">
        <v>2023</v>
      </c>
      <c r="J2" s="530">
        <v>2024</v>
      </c>
      <c r="K2" s="530">
        <v>2025</v>
      </c>
      <c r="L2" s="530">
        <v>2026</v>
      </c>
      <c r="M2" s="530">
        <v>2027</v>
      </c>
    </row>
    <row r="3" spans="1:13" hidden="1" x14ac:dyDescent="0.2">
      <c r="B3" s="501" t="s">
        <v>344</v>
      </c>
      <c r="C3" s="857">
        <v>18797972</v>
      </c>
      <c r="D3" s="857">
        <v>20078722</v>
      </c>
      <c r="E3" s="857">
        <v>21087806</v>
      </c>
      <c r="F3" s="857">
        <v>15650090</v>
      </c>
      <c r="G3" s="857">
        <v>13312434</v>
      </c>
      <c r="H3" s="857"/>
      <c r="I3" s="857"/>
      <c r="J3" s="857"/>
      <c r="K3" s="857"/>
      <c r="L3" s="857"/>
      <c r="M3" s="857"/>
    </row>
    <row r="4" spans="1:13" hidden="1" x14ac:dyDescent="0.2">
      <c r="B4" s="487" t="s">
        <v>345</v>
      </c>
      <c r="C4" s="518">
        <v>1142004</v>
      </c>
      <c r="D4" s="518">
        <v>1081642</v>
      </c>
      <c r="E4" s="518">
        <v>1072579</v>
      </c>
      <c r="F4" s="518">
        <v>1695841</v>
      </c>
      <c r="G4" s="518">
        <v>1046835</v>
      </c>
      <c r="H4" s="518"/>
      <c r="I4" s="518"/>
      <c r="J4" s="518"/>
      <c r="K4" s="518"/>
      <c r="L4" s="518"/>
      <c r="M4" s="518"/>
    </row>
    <row r="5" spans="1:13" hidden="1" x14ac:dyDescent="0.2">
      <c r="B5" s="487" t="s">
        <v>346</v>
      </c>
      <c r="C5" s="518">
        <v>559919</v>
      </c>
      <c r="D5" s="518">
        <v>383984</v>
      </c>
      <c r="E5" s="518">
        <v>499504</v>
      </c>
      <c r="F5" s="518">
        <v>50250</v>
      </c>
      <c r="G5" s="518">
        <v>101138</v>
      </c>
      <c r="H5" s="518"/>
      <c r="I5" s="518"/>
      <c r="J5" s="518"/>
      <c r="K5" s="518"/>
      <c r="L5" s="518"/>
      <c r="M5" s="518"/>
    </row>
    <row r="6" spans="1:13" hidden="1" x14ac:dyDescent="0.2">
      <c r="B6" s="487" t="s">
        <v>347</v>
      </c>
      <c r="C6" s="518">
        <v>221188</v>
      </c>
      <c r="D6" s="518">
        <v>290476</v>
      </c>
      <c r="E6" s="518">
        <v>313449</v>
      </c>
      <c r="F6" s="518">
        <v>155892</v>
      </c>
      <c r="G6" s="518">
        <v>108368</v>
      </c>
      <c r="H6" s="518">
        <f>+'Pro_Forma IS'!H$7*'Working Cap'!$O$49</f>
        <v>248522.64821694855</v>
      </c>
      <c r="I6" s="518">
        <f>+'Pro_Forma IS'!I$7*'Working Cap'!$O$49</f>
        <v>292264.20430279867</v>
      </c>
      <c r="J6" s="518">
        <f>+'Pro_Forma IS'!J$7*'Working Cap'!$O$49</f>
        <v>310869.65907297394</v>
      </c>
      <c r="K6" s="518">
        <f>+'Pro_Forma IS'!K$7*'Working Cap'!$O$49</f>
        <v>321478.25458675792</v>
      </c>
      <c r="L6" s="518">
        <f>+'Pro_Forma IS'!L$7*'Working Cap'!$O$49</f>
        <v>331619.09652035619</v>
      </c>
      <c r="M6" s="518">
        <f>+'Pro_Forma IS'!M$7*'Working Cap'!$O$49</f>
        <v>348410.29921329516</v>
      </c>
    </row>
    <row r="7" spans="1:13" hidden="1" x14ac:dyDescent="0.2">
      <c r="B7" s="487" t="s">
        <v>348</v>
      </c>
      <c r="C7" s="518">
        <v>1214050</v>
      </c>
      <c r="D7" s="518">
        <v>1162582</v>
      </c>
      <c r="E7" s="518">
        <v>1244348</v>
      </c>
      <c r="F7" s="518">
        <v>599381</v>
      </c>
      <c r="G7" s="518">
        <v>902672</v>
      </c>
      <c r="H7" s="518">
        <f>+'Working Cap'!AI$15</f>
        <v>1091172.2410478338</v>
      </c>
      <c r="I7" s="518">
        <f>+'Working Cap'!AJ$15</f>
        <v>1283225.4487677633</v>
      </c>
      <c r="J7" s="518">
        <f>+'Working Cap'!AK$15</f>
        <v>1364915.2099341734</v>
      </c>
      <c r="K7" s="518">
        <f>+'Working Cap'!AL$15</f>
        <v>1411493.6808469757</v>
      </c>
      <c r="L7" s="518">
        <f>+'Working Cap'!AM$15</f>
        <v>1456018.416512663</v>
      </c>
      <c r="M7" s="518">
        <f>+'Working Cap'!AN$15</f>
        <v>1529742.4589844313</v>
      </c>
    </row>
    <row r="8" spans="1:13" hidden="1" x14ac:dyDescent="0.2">
      <c r="B8" s="487" t="s">
        <v>349</v>
      </c>
      <c r="C8" s="518">
        <v>2582</v>
      </c>
      <c r="D8" s="518">
        <v>2931</v>
      </c>
      <c r="E8" s="518">
        <v>19645</v>
      </c>
      <c r="F8" s="518">
        <v>158</v>
      </c>
      <c r="G8" s="518">
        <v>724</v>
      </c>
      <c r="H8" s="518">
        <v>0</v>
      </c>
      <c r="I8" s="518">
        <v>0</v>
      </c>
      <c r="J8" s="518">
        <v>0</v>
      </c>
      <c r="K8" s="518">
        <v>0</v>
      </c>
      <c r="L8" s="518">
        <v>0</v>
      </c>
      <c r="M8" s="518">
        <v>0</v>
      </c>
    </row>
    <row r="9" spans="1:13" hidden="1" x14ac:dyDescent="0.2">
      <c r="B9" s="487" t="s">
        <v>350</v>
      </c>
      <c r="C9" s="518">
        <v>236666</v>
      </c>
      <c r="D9" s="518">
        <v>279344</v>
      </c>
      <c r="E9" s="518">
        <v>354232</v>
      </c>
      <c r="F9" s="518">
        <v>323574</v>
      </c>
      <c r="G9" s="518">
        <v>287337</v>
      </c>
      <c r="H9" s="518">
        <f>-SUM('Pro_Forma IS'!H$11:H$12,'Pro_Forma IS'!H$14:H$19)*('Working Cap'!L$73/360)</f>
        <v>327838.14928835235</v>
      </c>
      <c r="I9" s="518">
        <f>-SUM('Pro_Forma IS'!I$11:I$12,'Pro_Forma IS'!I$14:I$19)*('Working Cap'!M$73/360)</f>
        <v>349339.99455302401</v>
      </c>
      <c r="J9" s="518">
        <f>-SUM('Pro_Forma IS'!J$11:J$12,'Pro_Forma IS'!J$14:J$19)*('Working Cap'!N$73/360)</f>
        <v>330244.65956707805</v>
      </c>
      <c r="K9" s="518">
        <f>-SUM('Pro_Forma IS'!K$11:K$12,'Pro_Forma IS'!K$14:K$19)*('Working Cap'!O$73/360)</f>
        <v>340709.46370611747</v>
      </c>
      <c r="L9" s="518">
        <f>-SUM('Pro_Forma IS'!L$11:L$12,'Pro_Forma IS'!L$14:L$19)*('Working Cap'!P$73/360)</f>
        <v>360263.87247703091</v>
      </c>
      <c r="M9" s="518">
        <f>-SUM('Pro_Forma IS'!M$11:M$12,'Pro_Forma IS'!M$14:M$19)*('Working Cap'!Q$73/360)</f>
        <v>367784.79865273624</v>
      </c>
    </row>
    <row r="10" spans="1:13" hidden="1" x14ac:dyDescent="0.2">
      <c r="B10" s="487" t="s">
        <v>351</v>
      </c>
      <c r="C10" s="518">
        <v>77987</v>
      </c>
      <c r="D10" s="518">
        <v>69134</v>
      </c>
      <c r="E10" s="518">
        <v>29321</v>
      </c>
      <c r="F10" s="518">
        <v>42320</v>
      </c>
      <c r="G10" s="518">
        <v>41264</v>
      </c>
      <c r="H10" s="518"/>
      <c r="I10" s="518"/>
      <c r="J10" s="518"/>
      <c r="K10" s="518"/>
      <c r="L10" s="518"/>
      <c r="M10" s="518"/>
    </row>
    <row r="11" spans="1:13" hidden="1" x14ac:dyDescent="0.2">
      <c r="B11" s="487" t="s">
        <v>352</v>
      </c>
      <c r="C11" s="518">
        <v>291103</v>
      </c>
      <c r="D11" s="518">
        <v>5768</v>
      </c>
      <c r="E11" s="518">
        <v>485150</v>
      </c>
      <c r="F11" s="518">
        <v>276122</v>
      </c>
      <c r="G11" s="518">
        <v>146792</v>
      </c>
      <c r="H11" s="518">
        <v>0</v>
      </c>
      <c r="I11" s="518">
        <v>0</v>
      </c>
      <c r="J11" s="518">
        <v>0</v>
      </c>
      <c r="K11" s="518">
        <v>0</v>
      </c>
      <c r="L11" s="518">
        <v>0</v>
      </c>
      <c r="M11" s="518">
        <v>0</v>
      </c>
    </row>
    <row r="12" spans="1:13" hidden="1" x14ac:dyDescent="0.2">
      <c r="B12" s="500" t="s">
        <v>353</v>
      </c>
      <c r="C12" s="582">
        <v>3745499</v>
      </c>
      <c r="D12" s="582">
        <v>3275861</v>
      </c>
      <c r="E12" s="582">
        <v>4018228</v>
      </c>
      <c r="F12" s="582">
        <v>3143538</v>
      </c>
      <c r="G12" s="582">
        <v>2635130</v>
      </c>
      <c r="H12" s="611">
        <f t="shared" ref="H12:M12" si="0">+SUM(H4:H11)</f>
        <v>1667533.0385531348</v>
      </c>
      <c r="I12" s="611">
        <f t="shared" si="0"/>
        <v>1924829.647623586</v>
      </c>
      <c r="J12" s="611">
        <f t="shared" si="0"/>
        <v>2006029.5285742255</v>
      </c>
      <c r="K12" s="611">
        <f t="shared" si="0"/>
        <v>2073681.3991398509</v>
      </c>
      <c r="L12" s="611">
        <f t="shared" si="0"/>
        <v>2147901.3855100502</v>
      </c>
      <c r="M12" s="611">
        <f t="shared" si="0"/>
        <v>2245937.5568504627</v>
      </c>
    </row>
    <row r="13" spans="1:13" hidden="1" x14ac:dyDescent="0.2">
      <c r="B13" s="487" t="s">
        <v>354</v>
      </c>
      <c r="C13" s="518">
        <v>10065335</v>
      </c>
      <c r="D13" s="518">
        <v>12501809</v>
      </c>
      <c r="E13" s="518">
        <v>12919618</v>
      </c>
      <c r="F13" s="518">
        <v>10730269</v>
      </c>
      <c r="G13" s="518">
        <v>9489867</v>
      </c>
      <c r="H13" s="518">
        <f>+CAPEX!AV70</f>
        <v>9404186.8471497968</v>
      </c>
      <c r="I13" s="518">
        <f>+CAPEX!AW70</f>
        <v>10110375.563026417</v>
      </c>
      <c r="J13" s="518">
        <f>+CAPEX!AX70</f>
        <v>10142085.784245413</v>
      </c>
      <c r="K13" s="518">
        <f>+CAPEX!AY70</f>
        <v>10413600.505740959</v>
      </c>
      <c r="L13" s="518">
        <f>+CAPEX!AZ70</f>
        <v>10651207.778366849</v>
      </c>
      <c r="M13" s="518">
        <f>+CAPEX!BA70</f>
        <v>11099609.952407395</v>
      </c>
    </row>
    <row r="14" spans="1:13" hidden="1" x14ac:dyDescent="0.2">
      <c r="B14" s="487" t="s">
        <v>355</v>
      </c>
      <c r="C14" s="518">
        <v>2672550</v>
      </c>
      <c r="D14" s="518">
        <v>2294072</v>
      </c>
      <c r="E14" s="518">
        <v>2209576</v>
      </c>
      <c r="F14" s="518">
        <v>0</v>
      </c>
      <c r="G14" s="518">
        <v>0</v>
      </c>
      <c r="H14" s="518">
        <v>0</v>
      </c>
      <c r="I14" s="518">
        <v>0</v>
      </c>
      <c r="J14" s="518">
        <v>0</v>
      </c>
      <c r="K14" s="518">
        <v>0</v>
      </c>
      <c r="L14" s="518">
        <v>0</v>
      </c>
      <c r="M14" s="518">
        <v>0</v>
      </c>
    </row>
    <row r="15" spans="1:13" hidden="1" x14ac:dyDescent="0.2">
      <c r="B15" s="487" t="s">
        <v>356</v>
      </c>
      <c r="C15" s="518">
        <v>1617247</v>
      </c>
      <c r="D15" s="518">
        <v>1441072</v>
      </c>
      <c r="E15" s="518">
        <v>1448241</v>
      </c>
      <c r="F15" s="518">
        <v>1046559</v>
      </c>
      <c r="G15" s="518">
        <v>1018892</v>
      </c>
      <c r="H15" s="518">
        <f>CAPEX!Z13</f>
        <v>1018765</v>
      </c>
      <c r="I15" s="518">
        <f>CAPEX!AA13</f>
        <v>1018765</v>
      </c>
      <c r="J15" s="518">
        <f>CAPEX!AB13</f>
        <v>1018765</v>
      </c>
      <c r="K15" s="518">
        <f>CAPEX!AC13</f>
        <v>1018765</v>
      </c>
      <c r="L15" s="518">
        <f>CAPEX!AD13</f>
        <v>1018765</v>
      </c>
      <c r="M15" s="518">
        <f>CAPEX!AE13</f>
        <v>1018765</v>
      </c>
    </row>
    <row r="16" spans="1:13" hidden="1" x14ac:dyDescent="0.2">
      <c r="B16" s="487" t="s">
        <v>357</v>
      </c>
      <c r="C16" s="518">
        <v>697341</v>
      </c>
      <c r="D16" s="518">
        <v>565908</v>
      </c>
      <c r="E16" s="518">
        <v>492143</v>
      </c>
      <c r="F16" s="518">
        <v>729724</v>
      </c>
      <c r="G16" s="518">
        <v>168545</v>
      </c>
      <c r="H16" s="518"/>
      <c r="I16" s="518"/>
      <c r="J16" s="518"/>
      <c r="K16" s="518"/>
      <c r="L16" s="518"/>
      <c r="M16" s="518"/>
    </row>
    <row r="17" spans="2:13" ht="17" hidden="1" thickBot="1" x14ac:dyDescent="0.25">
      <c r="B17" s="581" t="s">
        <v>358</v>
      </c>
      <c r="C17" s="588">
        <v>15052473</v>
      </c>
      <c r="D17" s="588">
        <v>16802861</v>
      </c>
      <c r="E17" s="588">
        <v>17069578</v>
      </c>
      <c r="F17" s="588">
        <v>12506552</v>
      </c>
      <c r="G17" s="588">
        <v>10677304</v>
      </c>
      <c r="H17" s="612">
        <f>+SUM(H13:H16)</f>
        <v>10422951.847149797</v>
      </c>
      <c r="I17" s="612">
        <f t="shared" ref="I17:M17" si="1">+SUM(I13:I16)</f>
        <v>11129140.563026417</v>
      </c>
      <c r="J17" s="612">
        <f t="shared" si="1"/>
        <v>11160850.784245413</v>
      </c>
      <c r="K17" s="612">
        <f t="shared" si="1"/>
        <v>11432365.505740959</v>
      </c>
      <c r="L17" s="612">
        <f t="shared" si="1"/>
        <v>11669972.778366849</v>
      </c>
      <c r="M17" s="612">
        <f t="shared" si="1"/>
        <v>12118374.952407395</v>
      </c>
    </row>
    <row r="18" spans="2:13" ht="17" hidden="1" thickTop="1" x14ac:dyDescent="0.2">
      <c r="B18" s="487"/>
      <c r="C18" s="518"/>
      <c r="D18" s="518"/>
      <c r="E18" s="518"/>
      <c r="F18" s="518"/>
      <c r="G18" s="518"/>
      <c r="H18" s="518"/>
      <c r="I18" s="518"/>
      <c r="J18" s="518"/>
      <c r="K18" s="518"/>
      <c r="L18" s="518"/>
      <c r="M18" s="518"/>
    </row>
    <row r="19" spans="2:13" hidden="1" x14ac:dyDescent="0.2">
      <c r="B19" s="501" t="s">
        <v>359</v>
      </c>
      <c r="C19" s="857">
        <v>18797972</v>
      </c>
      <c r="D19" s="857">
        <v>20078722</v>
      </c>
      <c r="E19" s="857">
        <v>21087806</v>
      </c>
      <c r="F19" s="857">
        <v>15650090</v>
      </c>
      <c r="G19" s="857">
        <v>13312434</v>
      </c>
      <c r="H19" s="857"/>
      <c r="I19" s="857"/>
      <c r="J19" s="857"/>
      <c r="K19" s="857"/>
      <c r="L19" s="857"/>
      <c r="M19" s="857"/>
    </row>
    <row r="20" spans="2:13" hidden="1" x14ac:dyDescent="0.2">
      <c r="B20" s="487" t="s">
        <v>360</v>
      </c>
      <c r="C20" s="518">
        <v>1300949</v>
      </c>
      <c r="D20" s="518">
        <v>1794286</v>
      </c>
      <c r="E20" s="518">
        <v>1885660</v>
      </c>
      <c r="F20" s="518">
        <v>3055730</v>
      </c>
      <c r="G20" s="518">
        <v>4453451</v>
      </c>
      <c r="H20" s="518"/>
      <c r="I20" s="518"/>
      <c r="J20" s="518"/>
      <c r="K20" s="518"/>
      <c r="L20" s="518"/>
      <c r="M20" s="518"/>
    </row>
    <row r="21" spans="2:13" hidden="1" x14ac:dyDescent="0.2">
      <c r="B21" s="487" t="s">
        <v>361</v>
      </c>
      <c r="C21" s="518">
        <v>1695202</v>
      </c>
      <c r="D21" s="518">
        <v>1674303</v>
      </c>
      <c r="E21" s="518">
        <v>2222874</v>
      </c>
      <c r="F21" s="518">
        <v>2322125</v>
      </c>
      <c r="G21" s="518">
        <v>4860153</v>
      </c>
      <c r="H21" s="518">
        <f>SUM('Pro_Forma IS'!H$11:H$12,'Pro_Forma IS'!H$14:H$19)*('Working Cap'!$O$68/365)</f>
        <v>-3906955.1378721292</v>
      </c>
      <c r="I21" s="518">
        <f>SUM('Pro_Forma IS'!I$11:I$12,'Pro_Forma IS'!I$14:I$19)*('Working Cap'!$O$68/365)</f>
        <v>-4163199.7055433909</v>
      </c>
      <c r="J21" s="518">
        <f>SUM('Pro_Forma IS'!J$11:J$12,'Pro_Forma IS'!J$14:J$19)*('Working Cap'!$O$68/365)</f>
        <v>-3935634.313002354</v>
      </c>
      <c r="K21" s="518">
        <f>SUM('Pro_Forma IS'!K$11:K$12,'Pro_Forma IS'!K$14:K$19)*('Working Cap'!$O$68/365)</f>
        <v>-4060346.8285732139</v>
      </c>
      <c r="L21" s="518">
        <f>SUM('Pro_Forma IS'!L$11:L$12,'Pro_Forma IS'!L$14:L$19)*('Working Cap'!$O$68/365)</f>
        <v>-4293383.1545206727</v>
      </c>
      <c r="M21" s="518">
        <f>SUM('Pro_Forma IS'!M$11:M$12,'Pro_Forma IS'!M$14:M$19)*('Working Cap'!$O$68/365)</f>
        <v>-4383012.5073812632</v>
      </c>
    </row>
    <row r="22" spans="2:13" hidden="1" x14ac:dyDescent="0.2">
      <c r="B22" s="487" t="s">
        <v>362</v>
      </c>
      <c r="C22" s="518">
        <v>3511</v>
      </c>
      <c r="D22" s="518">
        <v>3738</v>
      </c>
      <c r="E22" s="518">
        <v>11925</v>
      </c>
      <c r="F22" s="518">
        <v>656</v>
      </c>
      <c r="G22" s="518">
        <v>675</v>
      </c>
      <c r="H22" s="518"/>
      <c r="I22" s="518"/>
      <c r="J22" s="518"/>
      <c r="K22" s="518"/>
      <c r="L22" s="518"/>
      <c r="M22" s="518"/>
    </row>
    <row r="23" spans="2:13" hidden="1" x14ac:dyDescent="0.2">
      <c r="B23" s="487" t="s">
        <v>363</v>
      </c>
      <c r="C23" s="518">
        <v>2843052</v>
      </c>
      <c r="D23" s="518">
        <v>2459922</v>
      </c>
      <c r="E23" s="518">
        <v>2840483</v>
      </c>
      <c r="F23" s="518">
        <v>2113377</v>
      </c>
      <c r="G23" s="518">
        <v>3022050</v>
      </c>
      <c r="H23" s="518">
        <f>'Working Cap'!$D$39*'Pro_Forma IS'!H$4</f>
        <v>1301269.7602765642</v>
      </c>
      <c r="I23" s="518">
        <f>'Working Cap'!$D$39*'Pro_Forma IS'!I$4</f>
        <v>1550539.6635069866</v>
      </c>
      <c r="J23" s="518">
        <f>'Working Cap'!$D$39*'Pro_Forma IS'!J$4</f>
        <v>1715466.3111493541</v>
      </c>
      <c r="K23" s="518">
        <f>'Working Cap'!$D$39*'Pro_Forma IS'!K$4</f>
        <v>1774195.7100366969</v>
      </c>
      <c r="L23" s="518">
        <f>'Working Cap'!$D$39*'Pro_Forma IS'!L$4</f>
        <v>1863409.5840037621</v>
      </c>
      <c r="M23" s="518">
        <f>'Working Cap'!$D$39*'Pro_Forma IS'!M$4</f>
        <v>1962686.9395238163</v>
      </c>
    </row>
    <row r="24" spans="2:13" hidden="1" x14ac:dyDescent="0.2">
      <c r="B24" s="500" t="s">
        <v>364</v>
      </c>
      <c r="C24" s="858">
        <v>5842714</v>
      </c>
      <c r="D24" s="858">
        <v>5932249</v>
      </c>
      <c r="E24" s="858">
        <v>6960942</v>
      </c>
      <c r="F24" s="858">
        <v>7491888</v>
      </c>
      <c r="G24" s="858">
        <v>12336329</v>
      </c>
      <c r="H24" s="611">
        <f t="shared" ref="H24:M24" si="2">+SUM(H20:H23)</f>
        <v>-2605685.3775955653</v>
      </c>
      <c r="I24" s="611">
        <f t="shared" si="2"/>
        <v>-2612660.0420364044</v>
      </c>
      <c r="J24" s="611">
        <f t="shared" si="2"/>
        <v>-2220168.0018529999</v>
      </c>
      <c r="K24" s="611">
        <f t="shared" si="2"/>
        <v>-2286151.118536517</v>
      </c>
      <c r="L24" s="611">
        <f t="shared" si="2"/>
        <v>-2429973.5705169104</v>
      </c>
      <c r="M24" s="611">
        <f t="shared" si="2"/>
        <v>-2420325.5678574471</v>
      </c>
    </row>
    <row r="25" spans="2:13" hidden="1" x14ac:dyDescent="0.2">
      <c r="B25" s="487" t="s">
        <v>360</v>
      </c>
      <c r="C25" s="518">
        <v>6605508</v>
      </c>
      <c r="D25" s="518">
        <v>8359462</v>
      </c>
      <c r="E25" s="518">
        <v>8530418</v>
      </c>
      <c r="F25" s="518">
        <v>7803801</v>
      </c>
      <c r="G25" s="518">
        <v>5948702</v>
      </c>
      <c r="H25" s="518"/>
      <c r="I25" s="518"/>
      <c r="J25" s="518"/>
      <c r="K25" s="518"/>
      <c r="L25" s="518"/>
      <c r="M25" s="518"/>
    </row>
    <row r="26" spans="2:13" hidden="1" x14ac:dyDescent="0.2">
      <c r="B26" s="487" t="s">
        <v>365</v>
      </c>
      <c r="C26" s="518">
        <v>498832</v>
      </c>
      <c r="D26" s="518">
        <v>529277</v>
      </c>
      <c r="E26" s="518">
        <v>619110</v>
      </c>
      <c r="F26" s="518">
        <v>651600</v>
      </c>
      <c r="G26" s="518">
        <v>472426</v>
      </c>
      <c r="H26" s="518">
        <v>0</v>
      </c>
      <c r="I26" s="518">
        <v>0</v>
      </c>
      <c r="J26" s="518">
        <v>0</v>
      </c>
      <c r="K26" s="518">
        <v>0</v>
      </c>
      <c r="L26" s="518">
        <v>0</v>
      </c>
      <c r="M26" s="518">
        <v>0</v>
      </c>
    </row>
    <row r="27" spans="2:13" hidden="1" x14ac:dyDescent="0.2">
      <c r="B27" s="487" t="s">
        <v>366</v>
      </c>
      <c r="C27" s="518">
        <v>374593</v>
      </c>
      <c r="D27" s="518">
        <v>303495</v>
      </c>
      <c r="E27" s="518">
        <v>286403</v>
      </c>
      <c r="F27" s="518">
        <v>396423</v>
      </c>
      <c r="G27" s="518">
        <v>712581</v>
      </c>
      <c r="H27" s="518"/>
      <c r="I27" s="518"/>
      <c r="J27" s="518"/>
      <c r="K27" s="518"/>
      <c r="L27" s="518"/>
      <c r="M27" s="518"/>
    </row>
    <row r="28" spans="2:13" hidden="1" x14ac:dyDescent="0.2">
      <c r="B28" s="487" t="s">
        <v>367</v>
      </c>
      <c r="C28" s="518">
        <v>949697</v>
      </c>
      <c r="D28" s="518">
        <v>786571</v>
      </c>
      <c r="E28" s="518">
        <v>616803</v>
      </c>
      <c r="F28" s="518">
        <v>588359</v>
      </c>
      <c r="G28" s="518">
        <v>341011</v>
      </c>
      <c r="H28" s="518"/>
      <c r="I28" s="518"/>
      <c r="J28" s="518"/>
    </row>
    <row r="29" spans="2:13" hidden="1" x14ac:dyDescent="0.2">
      <c r="B29" s="487" t="s">
        <v>368</v>
      </c>
      <c r="C29" s="518">
        <v>101087</v>
      </c>
      <c r="D29" s="518">
        <v>82365</v>
      </c>
      <c r="E29" s="518">
        <v>93570</v>
      </c>
      <c r="F29" s="518">
        <v>384280</v>
      </c>
      <c r="G29" s="518">
        <v>56233</v>
      </c>
      <c r="H29" s="742"/>
      <c r="I29" s="518"/>
      <c r="J29" s="518"/>
      <c r="K29" s="518"/>
      <c r="L29" s="518"/>
      <c r="M29" s="518"/>
    </row>
    <row r="30" spans="2:13" hidden="1" x14ac:dyDescent="0.2">
      <c r="B30" s="487" t="s">
        <v>363</v>
      </c>
      <c r="C30" s="518">
        <v>158305</v>
      </c>
      <c r="D30" s="518">
        <v>644702</v>
      </c>
      <c r="E30" s="518">
        <v>851383</v>
      </c>
      <c r="F30" s="518">
        <v>74116</v>
      </c>
      <c r="G30" s="518">
        <v>512056</v>
      </c>
      <c r="H30" s="518">
        <v>0</v>
      </c>
      <c r="I30" s="518">
        <v>0</v>
      </c>
      <c r="J30" s="518">
        <v>0</v>
      </c>
      <c r="K30" s="518">
        <v>0</v>
      </c>
      <c r="L30" s="518">
        <v>0</v>
      </c>
      <c r="M30" s="518">
        <v>0</v>
      </c>
    </row>
    <row r="31" spans="2:13" hidden="1" x14ac:dyDescent="0.2">
      <c r="B31" s="585" t="s">
        <v>369</v>
      </c>
      <c r="C31" s="858">
        <v>8688022</v>
      </c>
      <c r="D31" s="858">
        <v>10705872</v>
      </c>
      <c r="E31" s="858">
        <v>10997687</v>
      </c>
      <c r="F31" s="858">
        <v>702008</v>
      </c>
      <c r="G31" s="858">
        <v>8043009</v>
      </c>
      <c r="H31" s="611">
        <f t="shared" ref="H31:M31" si="3">+SUM(H25:H30)</f>
        <v>0</v>
      </c>
      <c r="I31" s="611">
        <f t="shared" si="3"/>
        <v>0</v>
      </c>
      <c r="J31" s="611">
        <f t="shared" si="3"/>
        <v>0</v>
      </c>
      <c r="K31" s="611">
        <f t="shared" si="3"/>
        <v>0</v>
      </c>
      <c r="L31" s="611">
        <f t="shared" si="3"/>
        <v>0</v>
      </c>
      <c r="M31" s="611">
        <f t="shared" si="3"/>
        <v>0</v>
      </c>
    </row>
    <row r="32" spans="2:13" hidden="1" x14ac:dyDescent="0.2">
      <c r="B32" s="504"/>
      <c r="C32" s="584"/>
      <c r="D32" s="584"/>
      <c r="E32" s="584"/>
      <c r="F32" s="584"/>
      <c r="G32" s="584"/>
      <c r="H32" s="584"/>
      <c r="I32" s="584"/>
      <c r="J32" s="584"/>
      <c r="K32" s="584"/>
      <c r="L32" s="584"/>
      <c r="M32" s="584"/>
    </row>
    <row r="33" spans="2:14" ht="17" hidden="1" thickBot="1" x14ac:dyDescent="0.25">
      <c r="B33" s="583" t="s">
        <v>370</v>
      </c>
      <c r="C33" s="586">
        <v>14530736</v>
      </c>
      <c r="D33" s="586">
        <v>16638121</v>
      </c>
      <c r="E33" s="586">
        <v>17958629</v>
      </c>
      <c r="F33" s="586">
        <v>10600587</v>
      </c>
      <c r="G33" s="586">
        <v>20379338</v>
      </c>
      <c r="H33" s="586"/>
      <c r="I33" s="586"/>
      <c r="J33" s="586"/>
      <c r="K33" s="586"/>
      <c r="L33" s="586"/>
      <c r="M33" s="586"/>
    </row>
    <row r="34" spans="2:14" ht="17" hidden="1" thickTop="1" x14ac:dyDescent="0.2">
      <c r="B34" s="487"/>
      <c r="C34" s="518"/>
      <c r="D34" s="518"/>
      <c r="E34" s="518"/>
      <c r="F34" s="518"/>
      <c r="G34" s="518"/>
      <c r="H34" s="518"/>
      <c r="I34" s="518"/>
      <c r="J34" s="518"/>
      <c r="K34" s="518"/>
      <c r="L34" s="518"/>
      <c r="M34" s="518"/>
    </row>
    <row r="35" spans="2:14" hidden="1" x14ac:dyDescent="0.2">
      <c r="B35" s="487" t="s">
        <v>371</v>
      </c>
      <c r="C35" s="518">
        <v>3146265</v>
      </c>
      <c r="D35" s="518">
        <v>3146265</v>
      </c>
      <c r="E35" s="518">
        <v>3146265</v>
      </c>
      <c r="F35" s="518">
        <v>3146265</v>
      </c>
      <c r="G35" s="518">
        <v>3146265</v>
      </c>
      <c r="H35" s="518"/>
      <c r="I35" s="518"/>
      <c r="J35" s="518"/>
      <c r="K35" s="518"/>
      <c r="L35" s="518"/>
      <c r="M35" s="518"/>
    </row>
    <row r="36" spans="2:14" hidden="1" x14ac:dyDescent="0.2">
      <c r="B36" s="487" t="s">
        <v>372</v>
      </c>
      <c r="C36" s="518">
        <v>475118</v>
      </c>
      <c r="D36" s="518">
        <v>218971</v>
      </c>
      <c r="E36" s="518">
        <v>352272</v>
      </c>
      <c r="F36" s="518">
        <v>-4193615</v>
      </c>
      <c r="G36" s="518">
        <v>-8841106</v>
      </c>
      <c r="H36" s="518"/>
      <c r="I36" s="518"/>
      <c r="J36" s="518"/>
      <c r="K36" s="518"/>
      <c r="L36" s="518"/>
      <c r="M36" s="518"/>
    </row>
    <row r="37" spans="2:14" hidden="1" x14ac:dyDescent="0.2">
      <c r="B37" s="487" t="s">
        <v>373</v>
      </c>
      <c r="C37" s="518">
        <v>-178</v>
      </c>
      <c r="D37" s="518">
        <v>-178</v>
      </c>
      <c r="E37" s="518">
        <v>-178</v>
      </c>
      <c r="F37" s="518">
        <v>-178</v>
      </c>
      <c r="G37" s="518">
        <v>-178</v>
      </c>
      <c r="H37" s="518"/>
      <c r="I37" s="518"/>
      <c r="J37" s="518"/>
      <c r="K37" s="518"/>
      <c r="L37" s="518"/>
      <c r="M37" s="518"/>
    </row>
    <row r="38" spans="2:14" hidden="1" x14ac:dyDescent="0.2">
      <c r="B38" s="487" t="s">
        <v>374</v>
      </c>
      <c r="C38" s="518">
        <v>554884</v>
      </c>
      <c r="D38" s="518">
        <v>-4365</v>
      </c>
      <c r="E38" s="518">
        <v>-367577</v>
      </c>
      <c r="F38" s="518">
        <v>-1388185</v>
      </c>
      <c r="G38" s="518">
        <v>-1361529</v>
      </c>
      <c r="H38" s="518"/>
      <c r="I38" s="518"/>
      <c r="J38" s="518"/>
      <c r="K38" s="518"/>
      <c r="L38" s="518"/>
      <c r="M38" s="518"/>
    </row>
    <row r="39" spans="2:14" hidden="1" x14ac:dyDescent="0.2">
      <c r="B39" s="487" t="s">
        <v>375</v>
      </c>
      <c r="C39" s="518">
        <v>4176089</v>
      </c>
      <c r="D39" s="518">
        <v>3360693</v>
      </c>
      <c r="E39" s="518">
        <v>3130782</v>
      </c>
      <c r="F39" s="518">
        <v>-2435713</v>
      </c>
      <c r="G39" s="518">
        <v>-7056548</v>
      </c>
      <c r="H39" s="518"/>
      <c r="I39" s="518"/>
      <c r="J39" s="518"/>
      <c r="K39" s="518"/>
      <c r="L39" s="518"/>
      <c r="M39" s="518"/>
    </row>
    <row r="40" spans="2:14" hidden="1" x14ac:dyDescent="0.2">
      <c r="B40" s="487" t="s">
        <v>376</v>
      </c>
      <c r="C40" s="518">
        <v>91147</v>
      </c>
      <c r="D40" s="518">
        <v>79908</v>
      </c>
      <c r="E40" s="518">
        <v>-1605</v>
      </c>
      <c r="F40" s="518">
        <v>-6673</v>
      </c>
      <c r="G40" s="518">
        <v>-10356</v>
      </c>
      <c r="H40" s="518"/>
      <c r="I40" s="518"/>
      <c r="J40" s="518"/>
      <c r="K40" s="518"/>
      <c r="L40" s="518"/>
      <c r="M40" s="518"/>
    </row>
    <row r="41" spans="2:14" ht="17" hidden="1" thickBot="1" x14ac:dyDescent="0.25">
      <c r="B41" s="581" t="s">
        <v>377</v>
      </c>
      <c r="C41" s="587">
        <v>4267236</v>
      </c>
      <c r="D41" s="587">
        <v>3440601</v>
      </c>
      <c r="E41" s="587">
        <v>3129177</v>
      </c>
      <c r="F41" s="587">
        <v>-2442386</v>
      </c>
      <c r="G41" s="587">
        <v>-7066904</v>
      </c>
      <c r="H41" s="660">
        <f t="shared" ref="H41:M41" si="4">+SUM(H35:H40)</f>
        <v>0</v>
      </c>
      <c r="I41" s="660">
        <f t="shared" si="4"/>
        <v>0</v>
      </c>
      <c r="J41" s="660">
        <f t="shared" si="4"/>
        <v>0</v>
      </c>
      <c r="K41" s="660">
        <f t="shared" si="4"/>
        <v>0</v>
      </c>
      <c r="L41" s="660">
        <f t="shared" si="4"/>
        <v>0</v>
      </c>
      <c r="M41" s="660">
        <f t="shared" si="4"/>
        <v>0</v>
      </c>
    </row>
    <row r="42" spans="2:14" ht="17" hidden="1" thickTop="1" x14ac:dyDescent="0.2"/>
    <row r="43" spans="2:14" hidden="1" x14ac:dyDescent="0.2"/>
    <row r="44" spans="2:14" hidden="1" x14ac:dyDescent="0.2"/>
    <row r="45" spans="2:14" hidden="1" x14ac:dyDescent="0.2"/>
    <row r="46" spans="2:14" hidden="1" x14ac:dyDescent="0.2">
      <c r="B46" s="747" t="s">
        <v>378</v>
      </c>
      <c r="C46" s="748"/>
      <c r="D46" s="748"/>
      <c r="E46" s="748"/>
      <c r="F46" s="748"/>
      <c r="G46" s="748"/>
      <c r="H46" s="747"/>
      <c r="I46" s="747"/>
      <c r="J46" s="747"/>
      <c r="K46" s="747"/>
      <c r="L46" s="747"/>
      <c r="M46" s="747"/>
    </row>
    <row r="47" spans="2:14" hidden="1" x14ac:dyDescent="0.2">
      <c r="B47" s="747"/>
      <c r="C47" s="489"/>
      <c r="D47" s="489"/>
      <c r="E47" s="489"/>
      <c r="F47" s="489"/>
      <c r="G47" s="489"/>
      <c r="H47" s="490"/>
      <c r="I47" s="490"/>
      <c r="J47" s="490"/>
      <c r="K47" s="490"/>
      <c r="L47" s="490"/>
      <c r="M47" s="490"/>
      <c r="N47" s="490"/>
    </row>
    <row r="48" spans="2:14" hidden="1" x14ac:dyDescent="0.2">
      <c r="B48" s="747"/>
      <c r="C48" s="489"/>
      <c r="D48" s="489"/>
      <c r="E48" s="489"/>
      <c r="F48" s="489"/>
      <c r="G48" s="490"/>
      <c r="H48" s="490"/>
      <c r="I48" s="490"/>
      <c r="J48" s="490"/>
      <c r="K48" s="490"/>
      <c r="L48" s="490"/>
      <c r="M48" s="490"/>
      <c r="N48" s="490"/>
    </row>
    <row r="49" spans="2:14" hidden="1" x14ac:dyDescent="0.2">
      <c r="B49" s="747" t="s">
        <v>379</v>
      </c>
      <c r="C49" s="751"/>
      <c r="D49" s="751"/>
      <c r="E49" s="751"/>
      <c r="F49" s="751"/>
      <c r="G49" s="752"/>
      <c r="H49" s="490"/>
      <c r="I49" s="490"/>
      <c r="J49" s="490"/>
      <c r="K49" s="490"/>
      <c r="L49" s="490"/>
      <c r="M49" s="490"/>
      <c r="N49" s="490"/>
    </row>
    <row r="50" spans="2:14" hidden="1" x14ac:dyDescent="0.2">
      <c r="B50" s="747" t="s">
        <v>380</v>
      </c>
      <c r="C50" s="505">
        <v>2017</v>
      </c>
      <c r="D50" s="505">
        <v>2018</v>
      </c>
      <c r="E50" s="505">
        <v>2019</v>
      </c>
      <c r="F50" s="505">
        <v>2020</v>
      </c>
      <c r="G50" s="505">
        <v>2021</v>
      </c>
      <c r="H50" s="498" t="s">
        <v>0</v>
      </c>
      <c r="I50" s="498" t="s">
        <v>1</v>
      </c>
      <c r="J50" s="498" t="s">
        <v>2</v>
      </c>
      <c r="K50" s="498" t="s">
        <v>3</v>
      </c>
      <c r="L50" s="498" t="s">
        <v>4</v>
      </c>
      <c r="M50" s="498" t="s">
        <v>5</v>
      </c>
      <c r="N50" s="490"/>
    </row>
    <row r="51" spans="2:14" x14ac:dyDescent="0.2">
      <c r="B51" s="747" t="s">
        <v>381</v>
      </c>
      <c r="C51" s="489"/>
      <c r="D51" s="489"/>
      <c r="E51" s="489"/>
      <c r="F51" s="489"/>
      <c r="G51" s="490"/>
      <c r="H51" s="490"/>
      <c r="I51" s="490"/>
      <c r="J51" s="490"/>
      <c r="K51" s="490"/>
      <c r="L51" s="490"/>
      <c r="M51" s="490"/>
      <c r="N51" s="490"/>
    </row>
    <row r="52" spans="2:14" x14ac:dyDescent="0.2">
      <c r="B52" s="501" t="s">
        <v>382</v>
      </c>
      <c r="C52" s="761"/>
      <c r="D52" s="761"/>
      <c r="E52" s="761"/>
      <c r="F52" s="761"/>
      <c r="G52" s="762"/>
      <c r="H52" s="762"/>
      <c r="I52" s="762"/>
      <c r="J52" s="762"/>
      <c r="K52" s="762"/>
      <c r="L52" s="762"/>
      <c r="M52" s="762"/>
      <c r="N52" s="490"/>
    </row>
    <row r="53" spans="2:14" x14ac:dyDescent="0.2">
      <c r="B53" s="747" t="s">
        <v>348</v>
      </c>
      <c r="C53" s="489">
        <v>1223523</v>
      </c>
      <c r="D53" s="489">
        <v>1170894</v>
      </c>
      <c r="E53" s="489">
        <v>1268718</v>
      </c>
      <c r="F53" s="489">
        <v>604525</v>
      </c>
      <c r="G53" s="489">
        <v>915597</v>
      </c>
      <c r="H53" s="753">
        <f>+'Working Cap'!AI$15</f>
        <v>1091172.2410478338</v>
      </c>
      <c r="I53" s="753">
        <f>+'Working Cap'!AJ$15</f>
        <v>1283225.4487677633</v>
      </c>
      <c r="J53" s="753">
        <f>+'Working Cap'!AK$15</f>
        <v>1364915.2099341734</v>
      </c>
      <c r="K53" s="753">
        <f>+'Working Cap'!AL$15</f>
        <v>1411493.6808469757</v>
      </c>
      <c r="L53" s="753">
        <f>+'Working Cap'!AM$15</f>
        <v>1456018.416512663</v>
      </c>
      <c r="M53" s="753">
        <f>+'Working Cap'!AN$15</f>
        <v>1529742.4589844313</v>
      </c>
      <c r="N53" s="490"/>
    </row>
    <row r="54" spans="2:14" x14ac:dyDescent="0.2">
      <c r="B54" s="747" t="s">
        <v>350</v>
      </c>
      <c r="C54" s="489">
        <v>236666</v>
      </c>
      <c r="D54" s="489">
        <v>279344</v>
      </c>
      <c r="E54" s="489">
        <v>354232</v>
      </c>
      <c r="F54" s="489">
        <v>323574</v>
      </c>
      <c r="G54" s="489">
        <v>287337</v>
      </c>
      <c r="H54" s="753">
        <f>-SUM('Pro_Forma IS'!H$11:H$12,'Pro_Forma IS'!H$14:H$19)*('Working Cap'!L$73/360)</f>
        <v>327838.14928835235</v>
      </c>
      <c r="I54" s="753">
        <f>-SUM('Pro_Forma IS'!I$11:I$12,'Pro_Forma IS'!I$14:I$19)*('Working Cap'!M$73/360)</f>
        <v>349339.99455302401</v>
      </c>
      <c r="J54" s="753">
        <f>-SUM('Pro_Forma IS'!J$11:J$12,'Pro_Forma IS'!J$14:J$19)*('Working Cap'!N$73/360)</f>
        <v>330244.65956707805</v>
      </c>
      <c r="K54" s="753">
        <f>-SUM('Pro_Forma IS'!K$11:K$12,'Pro_Forma IS'!K$14:K$19)*('Working Cap'!O$73/360)</f>
        <v>340709.46370611747</v>
      </c>
      <c r="L54" s="753">
        <f>-SUM('Pro_Forma IS'!L$11:L$12,'Pro_Forma IS'!L$14:L$19)*('Working Cap'!P$73/360)</f>
        <v>360263.87247703091</v>
      </c>
      <c r="M54" s="753">
        <f>-SUM('Pro_Forma IS'!M$11:M$12,'Pro_Forma IS'!M$14:M$19)*('Working Cap'!Q$73/360)</f>
        <v>367784.79865273624</v>
      </c>
    </row>
    <row r="55" spans="2:14" x14ac:dyDescent="0.2">
      <c r="B55" s="747" t="s">
        <v>347</v>
      </c>
      <c r="C55" s="489">
        <v>441995</v>
      </c>
      <c r="D55" s="489">
        <v>518017</v>
      </c>
      <c r="E55" s="489">
        <v>518377</v>
      </c>
      <c r="F55" s="489">
        <v>282674</v>
      </c>
      <c r="G55" s="489">
        <v>233800</v>
      </c>
      <c r="H55" s="753">
        <f>+'Pro_Forma IS'!H$7*'Working Cap'!$O$51</f>
        <v>475801.90814939421</v>
      </c>
      <c r="I55" s="753">
        <f>+'Pro_Forma IS'!I$7*'Working Cap'!$O$51</f>
        <v>559546.0497815205</v>
      </c>
      <c r="J55" s="753">
        <f>+'Pro_Forma IS'!J$7*'Working Cap'!$O$51</f>
        <v>595166.58958000527</v>
      </c>
      <c r="K55" s="753">
        <f>+'Pro_Forma IS'!K$7*'Working Cap'!$O$51</f>
        <v>615476.97185082838</v>
      </c>
      <c r="L55" s="753">
        <f>+'Pro_Forma IS'!L$7*'Working Cap'!$O$51</f>
        <v>634891.82992056629</v>
      </c>
      <c r="M55" s="753">
        <f>+'Pro_Forma IS'!M$7*'Working Cap'!$O$51</f>
        <v>667038.94543999108</v>
      </c>
    </row>
    <row r="56" spans="2:14" x14ac:dyDescent="0.2">
      <c r="B56" s="747" t="s">
        <v>383</v>
      </c>
      <c r="C56" s="489">
        <v>-2194794</v>
      </c>
      <c r="D56" s="489">
        <v>-2203962</v>
      </c>
      <c r="E56" s="489">
        <v>-2842040</v>
      </c>
      <c r="F56" s="489">
        <v>-3370960</v>
      </c>
      <c r="G56" s="489">
        <v>-5994181</v>
      </c>
      <c r="H56" s="753">
        <f>AVERAGE('Working Cap'!$H$68:$J$68)*SUM('Pro_Forma IS'!H11:H12,'Pro_Forma IS'!H14:H19)/365</f>
        <v>-2703226.2084755241</v>
      </c>
      <c r="I56" s="753">
        <f>AVERAGE('Working Cap'!$H$68:$J$68)*SUM('Pro_Forma IS'!I11:I12,'Pro_Forma IS'!I14:I19)/365</f>
        <v>-2880522.0838219961</v>
      </c>
      <c r="J56" s="753">
        <f>AVERAGE('Working Cap'!$H$68:$J$68)*SUM('Pro_Forma IS'!J11:J12,'Pro_Forma IS'!J14:J19)/365</f>
        <v>-2723069.3587328643</v>
      </c>
      <c r="K56" s="753">
        <f>AVERAGE('Working Cap'!$H$68:$J$68)*SUM('Pro_Forma IS'!K11:K12,'Pro_Forma IS'!K14:K19)/365</f>
        <v>-2809358.0742976079</v>
      </c>
      <c r="L56" s="753">
        <f>AVERAGE('Working Cap'!$H$68:$J$68)*SUM('Pro_Forma IS'!L11:L12,'Pro_Forma IS'!L14:L19)/365</f>
        <v>-2970596.1437398661</v>
      </c>
      <c r="M56" s="753">
        <f>AVERAGE('Working Cap'!$H$68:$J$68)*SUM('Pro_Forma IS'!M11:M12,'Pro_Forma IS'!M14:M19)/365</f>
        <v>-3032610.7835684177</v>
      </c>
    </row>
    <row r="57" spans="2:14" x14ac:dyDescent="0.2">
      <c r="B57" s="747" t="s">
        <v>384</v>
      </c>
      <c r="C57" s="489">
        <v>-493668</v>
      </c>
      <c r="D57" s="489">
        <v>-446889</v>
      </c>
      <c r="E57" s="489">
        <v>-363824</v>
      </c>
      <c r="F57" s="489">
        <v>222200</v>
      </c>
      <c r="G57" s="489">
        <v>-285132</v>
      </c>
      <c r="H57" s="489"/>
      <c r="I57" s="489"/>
      <c r="J57" s="489"/>
      <c r="K57" s="489"/>
      <c r="L57" s="489"/>
      <c r="M57" s="489"/>
    </row>
    <row r="58" spans="2:14" x14ac:dyDescent="0.2">
      <c r="B58" s="747" t="s">
        <v>368</v>
      </c>
      <c r="C58" s="489">
        <v>-101087</v>
      </c>
      <c r="D58" s="489">
        <v>-82365</v>
      </c>
      <c r="E58" s="489">
        <v>-93570</v>
      </c>
      <c r="F58" s="489">
        <v>-74116</v>
      </c>
      <c r="G58" s="489">
        <v>-56233</v>
      </c>
      <c r="H58" s="753">
        <f>+G58*('Pro_Forma IS'!H10/'Pro_Forma IS'!G10)</f>
        <v>-70712.308402364826</v>
      </c>
      <c r="I58" s="753">
        <f>+H58*('Pro_Forma IS'!I10/'Pro_Forma IS'!H10)</f>
        <v>-84821.283822076555</v>
      </c>
      <c r="J58" s="753">
        <f>+I58*('Pro_Forma IS'!J10/'Pro_Forma IS'!I10)</f>
        <v>-90220.982233534523</v>
      </c>
      <c r="K58" s="753">
        <f>+J58*('Pro_Forma IS'!K10/'Pro_Forma IS'!J10)</f>
        <v>-93299.822124909013</v>
      </c>
      <c r="L58" s="753">
        <f>+K58*('Pro_Forma IS'!L10/'Pro_Forma IS'!K10)</f>
        <v>-96242.909985759034</v>
      </c>
      <c r="M58" s="753">
        <f>+L58*('Pro_Forma IS'!M10/'Pro_Forma IS'!L10)</f>
        <v>-101116.0738845997</v>
      </c>
    </row>
    <row r="59" spans="2:14" x14ac:dyDescent="0.2">
      <c r="B59" s="747" t="s">
        <v>385</v>
      </c>
      <c r="C59" s="489">
        <v>-377376</v>
      </c>
      <c r="D59" s="489">
        <v>-308289</v>
      </c>
      <c r="E59" s="489">
        <v>-291609</v>
      </c>
      <c r="F59" s="489">
        <v>-612133</v>
      </c>
      <c r="G59" s="489">
        <v>-740453</v>
      </c>
      <c r="H59" s="754">
        <f>(SUM('Forecast Drivers'!H25,'Forecast Drivers'!H68,'Forecast Drivers'!H113)/SUM('Forecast Drivers'!$E$25,'Forecast Drivers'!$E$68,'Forecast Drivers'!$E$113))*$E$59</f>
        <v>-237210.27572327733</v>
      </c>
      <c r="I59" s="754">
        <f>(SUM('Forecast Drivers'!I25,'Forecast Drivers'!I68,'Forecast Drivers'!I113)/SUM('Forecast Drivers'!$E$25,'Forecast Drivers'!$E$68,'Forecast Drivers'!$E$113))*$E$59</f>
        <v>-273518.47769041586</v>
      </c>
      <c r="J59" s="754">
        <f>(SUM('Forecast Drivers'!J25,'Forecast Drivers'!J68,'Forecast Drivers'!J113)/SUM('Forecast Drivers'!$E$25,'Forecast Drivers'!$E$68,'Forecast Drivers'!$E$113))*$E$59</f>
        <v>-314899.51770196873</v>
      </c>
      <c r="K59" s="754">
        <f>(SUM('Forecast Drivers'!K25,'Forecast Drivers'!K68,'Forecast Drivers'!K113)/SUM('Forecast Drivers'!$E$25,'Forecast Drivers'!$E$68,'Forecast Drivers'!$E$113))*$E$59</f>
        <v>-327602.92403563863</v>
      </c>
      <c r="L59" s="754">
        <f>(SUM('Forecast Drivers'!L25,'Forecast Drivers'!L68,'Forecast Drivers'!L113)/SUM('Forecast Drivers'!$E$25,'Forecast Drivers'!$E$68,'Forecast Drivers'!$E$113))*$E$59</f>
        <v>-339574.72908110096</v>
      </c>
      <c r="M59" s="754">
        <f>(SUM('Forecast Drivers'!M25,'Forecast Drivers'!M68,'Forecast Drivers'!M113)/SUM('Forecast Drivers'!$E$25,'Forecast Drivers'!$E$68,'Forecast Drivers'!$E$113))*$E$59</f>
        <v>-352155.25426497957</v>
      </c>
    </row>
    <row r="60" spans="2:14" x14ac:dyDescent="0.2">
      <c r="B60" s="747" t="s">
        <v>386</v>
      </c>
      <c r="C60" s="489">
        <v>-2982268</v>
      </c>
      <c r="D60" s="489">
        <v>-3099448</v>
      </c>
      <c r="E60" s="489">
        <v>-3686604</v>
      </c>
      <c r="F60" s="489">
        <v>-2790799</v>
      </c>
      <c r="G60" s="489">
        <v>-2844632</v>
      </c>
      <c r="H60" s="753">
        <f>-'Working Cap'!$D$39*'Pro_Forma IS'!H$4</f>
        <v>-1301269.7602765642</v>
      </c>
      <c r="I60" s="753">
        <f>-'Working Cap'!$D$39*'Pro_Forma IS'!I$4</f>
        <v>-1550539.6635069866</v>
      </c>
      <c r="J60" s="753">
        <f>-'Working Cap'!$D$39*'Pro_Forma IS'!J$4</f>
        <v>-1715466.3111493541</v>
      </c>
      <c r="K60" s="753">
        <f>-'Working Cap'!$D$39*'Pro_Forma IS'!K$4</f>
        <v>-1774195.7100366969</v>
      </c>
      <c r="L60" s="753">
        <f>-'Working Cap'!$D$39*'Pro_Forma IS'!L$4</f>
        <v>-1863409.5840037621</v>
      </c>
      <c r="M60" s="753">
        <f>-'Working Cap'!$D$39*'Pro_Forma IS'!M$4</f>
        <v>-1962686.9395238163</v>
      </c>
    </row>
    <row r="61" spans="2:14" x14ac:dyDescent="0.2">
      <c r="B61" s="749" t="s">
        <v>387</v>
      </c>
      <c r="C61" s="755">
        <v>-4247009</v>
      </c>
      <c r="D61" s="755">
        <v>-4172697.9999999995</v>
      </c>
      <c r="E61" s="755">
        <v>-5136320.0000000009</v>
      </c>
      <c r="F61" s="755">
        <v>-5415035</v>
      </c>
      <c r="G61" s="755">
        <f>SUM(G53:G56,G58:G60)</f>
        <v>-8198765</v>
      </c>
      <c r="H61" s="755">
        <f>SUM(H53:H56,H58:H60)</f>
        <v>-2417606.2543921499</v>
      </c>
      <c r="I61" s="755">
        <f t="shared" ref="I61:M61" si="5">SUM(I53:I56,I58:I60)</f>
        <v>-2597290.0157391671</v>
      </c>
      <c r="J61" s="755">
        <f t="shared" si="5"/>
        <v>-2553329.7107364647</v>
      </c>
      <c r="K61" s="755">
        <f t="shared" si="5"/>
        <v>-2636776.4140909309</v>
      </c>
      <c r="L61" s="755">
        <f t="shared" si="5"/>
        <v>-2818649.247900228</v>
      </c>
      <c r="M61" s="755">
        <f t="shared" si="5"/>
        <v>-2884002.8481646543</v>
      </c>
    </row>
    <row r="62" spans="2:14" x14ac:dyDescent="0.2">
      <c r="B62" s="747" t="s">
        <v>388</v>
      </c>
      <c r="C62" s="489">
        <v>648009</v>
      </c>
      <c r="D62" s="489">
        <v>442684</v>
      </c>
      <c r="E62" s="489">
        <v>546411</v>
      </c>
      <c r="F62" s="489">
        <v>83390</v>
      </c>
      <c r="G62" s="489">
        <v>116760</v>
      </c>
      <c r="H62" s="816"/>
      <c r="I62" s="816" t="s">
        <v>58</v>
      </c>
      <c r="J62" s="816" t="s">
        <v>58</v>
      </c>
      <c r="K62" s="816" t="s">
        <v>58</v>
      </c>
      <c r="L62" s="816" t="s">
        <v>58</v>
      </c>
      <c r="M62" s="816" t="s">
        <v>58</v>
      </c>
    </row>
    <row r="63" spans="2:14" x14ac:dyDescent="0.2">
      <c r="B63" s="747" t="s">
        <v>356</v>
      </c>
      <c r="C63" s="489">
        <v>1617247</v>
      </c>
      <c r="D63" s="489">
        <v>1441072</v>
      </c>
      <c r="E63" s="489">
        <v>1448241</v>
      </c>
      <c r="F63" s="489">
        <v>1046559</v>
      </c>
      <c r="G63" s="489">
        <v>1018892</v>
      </c>
      <c r="H63" s="754">
        <f>CAPEX!Z13</f>
        <v>1018765</v>
      </c>
      <c r="I63" s="754">
        <f>CAPEX!AA13</f>
        <v>1018765</v>
      </c>
      <c r="J63" s="754">
        <f>CAPEX!AB13</f>
        <v>1018765</v>
      </c>
      <c r="K63" s="754">
        <f>CAPEX!AC13</f>
        <v>1018765</v>
      </c>
      <c r="L63" s="754">
        <f>CAPEX!AD13</f>
        <v>1018765</v>
      </c>
      <c r="M63" s="754">
        <f>CAPEX!AE13</f>
        <v>1018765</v>
      </c>
      <c r="N63" s="490"/>
    </row>
    <row r="64" spans="2:14" x14ac:dyDescent="0.2">
      <c r="B64" s="747" t="s">
        <v>355</v>
      </c>
      <c r="C64" s="489">
        <v>2672550</v>
      </c>
      <c r="D64" s="489">
        <v>2294072</v>
      </c>
      <c r="E64" s="489">
        <v>2209576</v>
      </c>
      <c r="F64" s="489" t="s">
        <v>58</v>
      </c>
      <c r="G64" s="489" t="s">
        <v>58</v>
      </c>
      <c r="H64" s="754" t="s">
        <v>58</v>
      </c>
      <c r="I64" s="754" t="s">
        <v>58</v>
      </c>
      <c r="J64" s="754" t="s">
        <v>58</v>
      </c>
      <c r="K64" s="754" t="s">
        <v>58</v>
      </c>
      <c r="L64" s="754" t="s">
        <v>58</v>
      </c>
      <c r="M64" s="754" t="s">
        <v>58</v>
      </c>
      <c r="N64" s="490"/>
    </row>
    <row r="65" spans="2:24" x14ac:dyDescent="0.2">
      <c r="B65" s="501" t="s">
        <v>389</v>
      </c>
      <c r="C65" s="489">
        <v>10065335</v>
      </c>
      <c r="D65" s="489">
        <v>12501809</v>
      </c>
      <c r="E65" s="489">
        <v>12919618</v>
      </c>
      <c r="F65" s="489">
        <v>10730269</v>
      </c>
      <c r="G65" s="489">
        <v>9489867</v>
      </c>
      <c r="H65" s="754">
        <f>'Capex.'!AV70</f>
        <v>9404186.8471497968</v>
      </c>
      <c r="I65" s="754">
        <f>'Capex.'!AW70</f>
        <v>10110375.563026417</v>
      </c>
      <c r="J65" s="754">
        <f>'Capex.'!AX70</f>
        <v>10142085.784245413</v>
      </c>
      <c r="K65" s="754">
        <f>'Capex.'!AY70</f>
        <v>10413600.505740959</v>
      </c>
      <c r="L65" s="754">
        <f>'Capex.'!AZ70</f>
        <v>10651207.778366849</v>
      </c>
      <c r="M65" s="754">
        <f>'Capex.'!BA70</f>
        <v>11099609.952407395</v>
      </c>
      <c r="N65" s="490"/>
    </row>
    <row r="66" spans="2:24" x14ac:dyDescent="0.2">
      <c r="B66" s="749" t="s">
        <v>382</v>
      </c>
      <c r="C66" s="755">
        <f t="shared" ref="C66:M66" si="6">SUM(C61:C65)</f>
        <v>10756132</v>
      </c>
      <c r="D66" s="755">
        <f t="shared" si="6"/>
        <v>12506939</v>
      </c>
      <c r="E66" s="755">
        <f t="shared" si="6"/>
        <v>11987526</v>
      </c>
      <c r="F66" s="755">
        <f t="shared" si="6"/>
        <v>6445183</v>
      </c>
      <c r="G66" s="755">
        <f>SUM(G61:G65)</f>
        <v>2426754</v>
      </c>
      <c r="H66" s="756">
        <f>SUM(H61:H65)</f>
        <v>8005345.5927576469</v>
      </c>
      <c r="I66" s="756">
        <f t="shared" si="6"/>
        <v>8531850.5472872499</v>
      </c>
      <c r="J66" s="756">
        <f t="shared" si="6"/>
        <v>8607521.0735089481</v>
      </c>
      <c r="K66" s="756">
        <f t="shared" si="6"/>
        <v>8795589.0916500278</v>
      </c>
      <c r="L66" s="756">
        <f t="shared" si="6"/>
        <v>8851323.5304666199</v>
      </c>
      <c r="M66" s="756">
        <f t="shared" si="6"/>
        <v>9234372.1042427421</v>
      </c>
      <c r="N66" s="490"/>
    </row>
    <row r="67" spans="2:24" x14ac:dyDescent="0.2">
      <c r="B67" s="501" t="s">
        <v>390</v>
      </c>
      <c r="C67" s="761"/>
      <c r="D67" s="761"/>
      <c r="E67" s="761"/>
      <c r="F67" s="761"/>
      <c r="G67" s="761"/>
      <c r="H67" s="763"/>
      <c r="I67" s="763"/>
      <c r="J67" s="763"/>
      <c r="K67" s="763"/>
      <c r="L67" s="763"/>
      <c r="M67" s="763"/>
      <c r="N67" s="490"/>
      <c r="P67" s="977"/>
      <c r="Q67" s="977"/>
      <c r="R67" s="977"/>
      <c r="S67" s="977"/>
      <c r="T67" s="977"/>
      <c r="U67" s="977"/>
      <c r="V67" s="977"/>
      <c r="W67" s="977"/>
      <c r="X67" s="977"/>
    </row>
    <row r="68" spans="2:24" x14ac:dyDescent="0.2">
      <c r="B68" s="747" t="s">
        <v>391</v>
      </c>
      <c r="C68" s="489">
        <v>291103</v>
      </c>
      <c r="D68" s="489">
        <v>5768</v>
      </c>
      <c r="E68" s="489">
        <v>485150</v>
      </c>
      <c r="F68" s="489">
        <v>276122</v>
      </c>
      <c r="G68" s="489">
        <v>146792</v>
      </c>
      <c r="H68" s="754"/>
      <c r="I68" s="754"/>
      <c r="J68" s="754"/>
      <c r="K68" s="754"/>
      <c r="L68" s="754"/>
      <c r="M68" s="754"/>
      <c r="N68" s="490"/>
      <c r="P68" s="977"/>
      <c r="Q68" s="977"/>
      <c r="R68" s="977"/>
      <c r="S68" s="977"/>
      <c r="T68" s="977"/>
      <c r="U68" s="977"/>
      <c r="V68" s="977"/>
      <c r="W68" s="977"/>
      <c r="X68" s="977"/>
    </row>
    <row r="69" spans="2:24" x14ac:dyDescent="0.2">
      <c r="B69" s="747" t="s">
        <v>392</v>
      </c>
      <c r="C69" s="489">
        <v>-15546</v>
      </c>
      <c r="D69" s="489">
        <v>0</v>
      </c>
      <c r="E69" s="489">
        <v>0</v>
      </c>
      <c r="F69" s="489">
        <v>0</v>
      </c>
      <c r="G69" s="489">
        <v>0</v>
      </c>
      <c r="H69" s="754">
        <v>0</v>
      </c>
      <c r="I69" s="754">
        <v>0</v>
      </c>
      <c r="J69" s="754">
        <v>0</v>
      </c>
      <c r="K69" s="754">
        <v>0</v>
      </c>
      <c r="L69" s="754">
        <v>0</v>
      </c>
      <c r="M69" s="754">
        <v>0</v>
      </c>
      <c r="N69" s="490"/>
      <c r="P69" s="977"/>
      <c r="Q69" s="977"/>
      <c r="R69" s="977"/>
      <c r="S69" s="977"/>
      <c r="T69" s="977"/>
      <c r="U69" s="977"/>
      <c r="V69" s="977"/>
      <c r="W69" s="977"/>
      <c r="X69" s="977"/>
    </row>
    <row r="70" spans="2:24" x14ac:dyDescent="0.2">
      <c r="B70" s="501" t="s">
        <v>393</v>
      </c>
      <c r="C70" s="757">
        <v>275557</v>
      </c>
      <c r="D70" s="757">
        <v>5768</v>
      </c>
      <c r="E70" s="757">
        <v>485150</v>
      </c>
      <c r="F70" s="757">
        <v>276122</v>
      </c>
      <c r="G70" s="757">
        <v>146792</v>
      </c>
      <c r="H70" s="758">
        <v>0</v>
      </c>
      <c r="I70" s="758">
        <v>0</v>
      </c>
      <c r="J70" s="758">
        <v>0</v>
      </c>
      <c r="K70" s="758">
        <v>0</v>
      </c>
      <c r="L70" s="758">
        <v>0</v>
      </c>
      <c r="M70" s="758">
        <v>0</v>
      </c>
      <c r="N70" s="490"/>
      <c r="P70" s="977"/>
      <c r="Q70" s="977"/>
      <c r="R70" s="977"/>
      <c r="S70" s="977"/>
      <c r="T70" s="977"/>
      <c r="U70" s="977"/>
      <c r="V70" s="977"/>
      <c r="W70" s="977"/>
      <c r="X70" s="977"/>
    </row>
    <row r="71" spans="2:24" x14ac:dyDescent="0.2">
      <c r="B71" s="749" t="s">
        <v>394</v>
      </c>
      <c r="C71" s="755">
        <f>SUM(C66,C70)</f>
        <v>11031689</v>
      </c>
      <c r="D71" s="755">
        <f t="shared" ref="D71:F71" si="7">SUM(D66,D70)</f>
        <v>12512707</v>
      </c>
      <c r="E71" s="755">
        <f t="shared" si="7"/>
        <v>12472676</v>
      </c>
      <c r="F71" s="755">
        <f t="shared" si="7"/>
        <v>6721305</v>
      </c>
      <c r="G71" s="755">
        <f>SUM(G66,G70)</f>
        <v>2573546</v>
      </c>
      <c r="H71" s="759">
        <f>SUM(H66,H70)</f>
        <v>8005345.5927576469</v>
      </c>
      <c r="I71" s="759">
        <f t="shared" ref="I71" si="8">SUM(I66,I70)</f>
        <v>8531850.5472872499</v>
      </c>
      <c r="J71" s="759">
        <f t="shared" ref="J71" si="9">SUM(J66,J70)</f>
        <v>8607521.0735089481</v>
      </c>
      <c r="K71" s="759">
        <f t="shared" ref="K71" si="10">SUM(K66,K70)</f>
        <v>8795589.0916500278</v>
      </c>
      <c r="L71" s="759">
        <f t="shared" ref="L71:M71" si="11">SUM(L66,L70)</f>
        <v>8851323.5304666199</v>
      </c>
      <c r="M71" s="759">
        <f t="shared" si="11"/>
        <v>9234372.1042427421</v>
      </c>
      <c r="N71" s="490"/>
      <c r="P71" s="977"/>
      <c r="Q71" s="977"/>
      <c r="R71" s="977"/>
      <c r="S71" s="977"/>
      <c r="T71" s="977"/>
      <c r="U71" s="977"/>
      <c r="V71" s="977"/>
      <c r="W71" s="977"/>
      <c r="X71" s="977"/>
    </row>
    <row r="72" spans="2:24" ht="19" x14ac:dyDescent="0.25">
      <c r="B72" s="747"/>
      <c r="C72" s="489"/>
      <c r="D72" s="489"/>
      <c r="E72" s="489"/>
      <c r="F72" s="489"/>
      <c r="G72" s="489"/>
      <c r="H72" s="754"/>
      <c r="I72" s="754"/>
      <c r="J72" s="754"/>
      <c r="K72" s="754"/>
      <c r="L72" s="754"/>
      <c r="M72" s="754"/>
      <c r="N72" s="490"/>
      <c r="P72" s="977"/>
      <c r="Q72" s="978"/>
      <c r="R72" s="979"/>
      <c r="S72" s="979"/>
      <c r="T72" s="979"/>
      <c r="U72" s="979"/>
      <c r="V72" s="979"/>
      <c r="W72" s="979"/>
      <c r="X72" s="977"/>
    </row>
    <row r="73" spans="2:24" x14ac:dyDescent="0.2">
      <c r="B73" s="747" t="s">
        <v>220</v>
      </c>
      <c r="C73" s="489"/>
      <c r="D73" s="489"/>
      <c r="E73" s="489"/>
      <c r="F73" s="489"/>
      <c r="G73" s="489"/>
      <c r="H73" s="754"/>
      <c r="I73" s="754"/>
      <c r="J73" s="754"/>
      <c r="K73" s="754"/>
      <c r="L73" s="754"/>
      <c r="M73" s="754"/>
      <c r="N73" s="490"/>
      <c r="P73" s="977"/>
      <c r="Q73" s="978"/>
      <c r="R73" s="1163"/>
      <c r="S73" s="1163"/>
      <c r="T73" s="1163"/>
      <c r="U73" s="1163"/>
      <c r="V73" s="1163"/>
      <c r="W73" s="1163"/>
      <c r="X73" s="977"/>
    </row>
    <row r="74" spans="2:24" ht="19" x14ac:dyDescent="0.25">
      <c r="B74" s="747" t="s">
        <v>371</v>
      </c>
      <c r="C74" s="489">
        <v>3146265</v>
      </c>
      <c r="D74" s="489">
        <v>3146265</v>
      </c>
      <c r="E74" s="489">
        <v>3146265</v>
      </c>
      <c r="F74" s="489">
        <v>3146265</v>
      </c>
      <c r="G74" s="489">
        <v>3146265</v>
      </c>
      <c r="H74" s="754">
        <f>Sch_Deb!P$46</f>
        <v>3604476.5240000002</v>
      </c>
      <c r="I74" s="754">
        <f>Sch_Deb!Q$46</f>
        <v>3604476.5240000002</v>
      </c>
      <c r="J74" s="754">
        <f>Sch_Deb!R$46</f>
        <v>3604476.5240000002</v>
      </c>
      <c r="K74" s="754">
        <f>Sch_Deb!S$46</f>
        <v>3604476.5240000002</v>
      </c>
      <c r="L74" s="754">
        <f>Sch_Deb!T$46</f>
        <v>3604476.5240000002</v>
      </c>
      <c r="M74" s="754">
        <f>Sch_Deb!U$46</f>
        <v>3604476.5240000002</v>
      </c>
      <c r="N74" s="490"/>
      <c r="P74" s="977"/>
      <c r="Q74" s="979"/>
      <c r="R74" s="980"/>
      <c r="S74" s="980"/>
      <c r="T74" s="980"/>
      <c r="U74" s="980"/>
      <c r="V74" s="980"/>
      <c r="W74" s="980"/>
      <c r="X74" s="977"/>
    </row>
    <row r="75" spans="2:24" ht="19" x14ac:dyDescent="0.25">
      <c r="B75" s="747" t="s">
        <v>395</v>
      </c>
      <c r="C75" s="489">
        <v>475118</v>
      </c>
      <c r="D75" s="489">
        <v>218971</v>
      </c>
      <c r="E75" s="489">
        <v>352272</v>
      </c>
      <c r="F75" s="489">
        <v>-4193615</v>
      </c>
      <c r="G75" s="489">
        <v>-8841106</v>
      </c>
      <c r="H75" s="754">
        <f>Sch_Deb!P$47</f>
        <v>47684.656384536975</v>
      </c>
      <c r="I75" s="754">
        <f>Sch_Deb!Q$47</f>
        <v>95369.312769073949</v>
      </c>
      <c r="J75" s="754">
        <f>Sch_Deb!R$47</f>
        <v>143053.96915361093</v>
      </c>
      <c r="K75" s="754">
        <f>Sch_Deb!S$47</f>
        <v>190738.6255381479</v>
      </c>
      <c r="L75" s="754">
        <f>Sch_Deb!T$47</f>
        <v>238423.28192268487</v>
      </c>
      <c r="M75" s="754">
        <f>Sch_Deb!U$47</f>
        <v>286107.93830722186</v>
      </c>
      <c r="N75" s="490"/>
      <c r="P75" s="977"/>
      <c r="Q75" s="980"/>
      <c r="R75" s="981"/>
      <c r="S75" s="981"/>
      <c r="T75" s="981"/>
      <c r="U75" s="981"/>
      <c r="V75" s="981"/>
      <c r="W75" s="981"/>
      <c r="X75" s="977"/>
    </row>
    <row r="76" spans="2:24" ht="19" x14ac:dyDescent="0.25">
      <c r="B76" s="747" t="s">
        <v>373</v>
      </c>
      <c r="C76" s="489">
        <v>-178</v>
      </c>
      <c r="D76" s="489">
        <v>-178</v>
      </c>
      <c r="E76" s="489">
        <v>-178</v>
      </c>
      <c r="F76" s="489">
        <v>-178</v>
      </c>
      <c r="G76" s="489">
        <v>-178</v>
      </c>
      <c r="H76" s="754">
        <f>Sch_Deb!P$48</f>
        <v>-178</v>
      </c>
      <c r="I76" s="754">
        <f>Sch_Deb!Q$48</f>
        <v>-178</v>
      </c>
      <c r="J76" s="754">
        <f>Sch_Deb!R$48</f>
        <v>-178</v>
      </c>
      <c r="K76" s="754">
        <f>Sch_Deb!S$48</f>
        <v>-178</v>
      </c>
      <c r="L76" s="754">
        <f>Sch_Deb!T$48</f>
        <v>-178</v>
      </c>
      <c r="M76" s="754">
        <f>Sch_Deb!U$48</f>
        <v>-178</v>
      </c>
      <c r="N76" s="490"/>
      <c r="P76" s="977"/>
      <c r="Q76" s="980"/>
      <c r="R76" s="981"/>
      <c r="S76" s="981"/>
      <c r="T76" s="981"/>
      <c r="U76" s="981"/>
      <c r="V76" s="981"/>
      <c r="W76" s="981"/>
      <c r="X76" s="977"/>
    </row>
    <row r="77" spans="2:24" ht="19" x14ac:dyDescent="0.25">
      <c r="B77" s="747" t="s">
        <v>374</v>
      </c>
      <c r="C77" s="489">
        <v>554884</v>
      </c>
      <c r="D77" s="489">
        <v>-4365</v>
      </c>
      <c r="E77" s="489">
        <v>-367577</v>
      </c>
      <c r="F77" s="489">
        <v>-1388185</v>
      </c>
      <c r="G77" s="489">
        <v>-1361529</v>
      </c>
      <c r="H77" s="754">
        <f>Sch_Deb!P$49</f>
        <v>-367577</v>
      </c>
      <c r="I77" s="754">
        <f>Sch_Deb!Q$49</f>
        <v>-367577</v>
      </c>
      <c r="J77" s="754">
        <f>Sch_Deb!R$49</f>
        <v>-367577</v>
      </c>
      <c r="K77" s="754">
        <f>Sch_Deb!S$49</f>
        <v>-367577</v>
      </c>
      <c r="L77" s="754">
        <f>Sch_Deb!T$49</f>
        <v>-367577</v>
      </c>
      <c r="M77" s="754">
        <f>Sch_Deb!U$49</f>
        <v>-367577</v>
      </c>
      <c r="N77" s="490"/>
      <c r="P77" s="977"/>
      <c r="Q77" s="980"/>
      <c r="R77" s="981"/>
      <c r="S77" s="981"/>
      <c r="T77" s="981"/>
      <c r="U77" s="981"/>
      <c r="V77" s="981"/>
      <c r="W77" s="981"/>
      <c r="X77" s="977"/>
    </row>
    <row r="78" spans="2:24" ht="19" x14ac:dyDescent="0.25">
      <c r="B78" s="749" t="s">
        <v>396</v>
      </c>
      <c r="C78" s="755">
        <v>4176089</v>
      </c>
      <c r="D78" s="755">
        <v>3360693</v>
      </c>
      <c r="E78" s="755">
        <v>3130782</v>
      </c>
      <c r="F78" s="755">
        <v>-2435713</v>
      </c>
      <c r="G78" s="755">
        <v>-7056548</v>
      </c>
      <c r="H78" s="755">
        <f t="shared" ref="H78:L78" si="12">SUM(H74:H77)</f>
        <v>3284406.1803845372</v>
      </c>
      <c r="I78" s="755">
        <f t="shared" si="12"/>
        <v>3332090.8367690742</v>
      </c>
      <c r="J78" s="755">
        <f t="shared" si="12"/>
        <v>3379775.4931536112</v>
      </c>
      <c r="K78" s="755">
        <f t="shared" si="12"/>
        <v>3427460.1495381482</v>
      </c>
      <c r="L78" s="755">
        <f t="shared" si="12"/>
        <v>3475144.8059226852</v>
      </c>
      <c r="M78" s="755">
        <f>SUM(M74:M77)</f>
        <v>3522829.4623072222</v>
      </c>
      <c r="N78" s="490"/>
      <c r="P78" s="977"/>
      <c r="Q78" s="979"/>
      <c r="R78" s="982"/>
      <c r="S78" s="982"/>
      <c r="T78" s="982"/>
      <c r="U78" s="982"/>
      <c r="V78" s="982"/>
      <c r="W78" s="982"/>
      <c r="X78" s="977"/>
    </row>
    <row r="79" spans="2:24" ht="19" x14ac:dyDescent="0.25">
      <c r="B79" s="747" t="s">
        <v>397</v>
      </c>
      <c r="C79" s="489">
        <v>91147</v>
      </c>
      <c r="D79" s="489">
        <v>79908</v>
      </c>
      <c r="E79" s="489">
        <v>-1605</v>
      </c>
      <c r="F79" s="489">
        <v>-6672</v>
      </c>
      <c r="G79" s="489">
        <v>-10356</v>
      </c>
      <c r="H79" s="754">
        <f>Sch_Deb!P53</f>
        <v>-8040.6563845369965</v>
      </c>
      <c r="I79" s="754">
        <f>Sch_Deb!Q53</f>
        <v>-5725.312769073993</v>
      </c>
      <c r="J79" s="754">
        <f>Sch_Deb!R53</f>
        <v>-3409.9691536109895</v>
      </c>
      <c r="K79" s="754">
        <f>Sch_Deb!S53</f>
        <v>-1094.6255381479859</v>
      </c>
      <c r="L79" s="754">
        <f>Sch_Deb!T53</f>
        <v>1220.7180773150176</v>
      </c>
      <c r="M79" s="754">
        <f>Sch_Deb!U53</f>
        <v>3536.0616927780211</v>
      </c>
      <c r="N79" s="490"/>
      <c r="P79" s="977"/>
      <c r="Q79" s="980"/>
      <c r="R79" s="981"/>
      <c r="S79" s="981"/>
      <c r="T79" s="981"/>
      <c r="U79" s="981"/>
      <c r="V79" s="981"/>
      <c r="W79" s="981"/>
      <c r="X79" s="977"/>
    </row>
    <row r="80" spans="2:24" ht="19" x14ac:dyDescent="0.25">
      <c r="B80" s="749" t="s">
        <v>398</v>
      </c>
      <c r="C80" s="755">
        <f>SUM(C78:C79)</f>
        <v>4267236</v>
      </c>
      <c r="D80" s="755">
        <f t="shared" ref="D80:L80" si="13">SUM(D78:D79)</f>
        <v>3440601</v>
      </c>
      <c r="E80" s="755">
        <f t="shared" si="13"/>
        <v>3129177</v>
      </c>
      <c r="F80" s="755">
        <f t="shared" si="13"/>
        <v>-2442385</v>
      </c>
      <c r="G80" s="755">
        <f t="shared" si="13"/>
        <v>-7066904</v>
      </c>
      <c r="H80" s="755">
        <f>SUM(H78:H79)</f>
        <v>3276365.5240000002</v>
      </c>
      <c r="I80" s="755">
        <f t="shared" si="13"/>
        <v>3326365.5240000002</v>
      </c>
      <c r="J80" s="755">
        <f t="shared" si="13"/>
        <v>3376365.5240000002</v>
      </c>
      <c r="K80" s="755">
        <f t="shared" si="13"/>
        <v>3426365.5240000002</v>
      </c>
      <c r="L80" s="755">
        <f t="shared" si="13"/>
        <v>3476365.5240000002</v>
      </c>
      <c r="M80" s="755">
        <f>SUM(M78:M79)</f>
        <v>3526365.5240000002</v>
      </c>
      <c r="N80" s="490"/>
      <c r="P80" s="977"/>
      <c r="Q80" s="979"/>
      <c r="R80" s="982"/>
      <c r="S80" s="982"/>
      <c r="T80" s="982"/>
      <c r="U80" s="982"/>
      <c r="V80" s="982"/>
      <c r="W80" s="982"/>
      <c r="X80" s="977"/>
    </row>
    <row r="81" spans="2:24" ht="19" x14ac:dyDescent="0.25">
      <c r="B81" s="747"/>
      <c r="C81" s="760"/>
      <c r="D81" s="760"/>
      <c r="E81" s="760"/>
      <c r="F81" s="760"/>
      <c r="G81" s="760"/>
      <c r="H81" s="754"/>
      <c r="I81" s="754"/>
      <c r="J81" s="754"/>
      <c r="K81" s="754"/>
      <c r="L81" s="754"/>
      <c r="M81" s="754"/>
      <c r="N81" s="490"/>
      <c r="P81" s="977"/>
      <c r="Q81" s="979"/>
      <c r="R81" s="982"/>
      <c r="S81" s="982"/>
      <c r="T81" s="982"/>
      <c r="U81" s="982"/>
      <c r="V81" s="982"/>
      <c r="W81" s="982"/>
      <c r="X81" s="977"/>
    </row>
    <row r="82" spans="2:24" ht="19" x14ac:dyDescent="0.25">
      <c r="B82" s="747" t="s">
        <v>399</v>
      </c>
      <c r="C82" s="489"/>
      <c r="D82" s="489"/>
      <c r="E82" s="489"/>
      <c r="F82" s="489"/>
      <c r="G82" s="489"/>
      <c r="H82" s="754"/>
      <c r="I82" s="754"/>
      <c r="J82" s="754"/>
      <c r="K82" s="754"/>
      <c r="L82" s="754"/>
      <c r="M82" s="754"/>
      <c r="N82" s="490"/>
      <c r="P82" s="977"/>
      <c r="Q82" s="980"/>
      <c r="R82" s="981"/>
      <c r="S82" s="981"/>
      <c r="T82" s="981"/>
      <c r="U82" s="981"/>
      <c r="V82" s="981"/>
      <c r="W82" s="981"/>
      <c r="X82" s="977"/>
    </row>
    <row r="83" spans="2:24" ht="19" x14ac:dyDescent="0.25">
      <c r="B83" s="747" t="s">
        <v>400</v>
      </c>
      <c r="C83" s="489">
        <v>7906457</v>
      </c>
      <c r="D83" s="489">
        <v>10153748</v>
      </c>
      <c r="E83" s="489">
        <v>10416078</v>
      </c>
      <c r="F83" s="489">
        <v>10859531</v>
      </c>
      <c r="G83" s="489">
        <v>10402153</v>
      </c>
      <c r="H83" s="754">
        <f>Sch_Deb!P$30</f>
        <v>6705225</v>
      </c>
      <c r="I83" s="754" t="e">
        <f>Sch_Deb!Q$30</f>
        <v>#REF!</v>
      </c>
      <c r="J83" s="754" t="e">
        <f>Sch_Deb!R$30</f>
        <v>#REF!</v>
      </c>
      <c r="K83" s="754" t="e">
        <f>Sch_Deb!S$30</f>
        <v>#REF!</v>
      </c>
      <c r="L83" s="754" t="e">
        <f>Sch_Deb!T$30</f>
        <v>#REF!</v>
      </c>
      <c r="M83" s="754" t="e">
        <f>Sch_Deb!U$30</f>
        <v>#REF!</v>
      </c>
      <c r="N83" s="490"/>
      <c r="P83" s="977"/>
      <c r="Q83" s="979"/>
      <c r="R83" s="983"/>
      <c r="S83" s="983"/>
      <c r="T83" s="983"/>
      <c r="U83" s="983"/>
      <c r="V83" s="983"/>
      <c r="W83" s="983"/>
      <c r="X83" s="977"/>
    </row>
    <row r="84" spans="2:24" ht="19" x14ac:dyDescent="0.25">
      <c r="B84" s="747" t="s">
        <v>401</v>
      </c>
      <c r="C84" s="489">
        <v>-1142004</v>
      </c>
      <c r="D84" s="489">
        <v>-1081642</v>
      </c>
      <c r="E84" s="489">
        <v>-1072579</v>
      </c>
      <c r="F84" s="489">
        <v>-1695841</v>
      </c>
      <c r="G84" s="489">
        <v>-1046835</v>
      </c>
      <c r="H84" s="754">
        <f>-Sch_Deb!P$76</f>
        <v>-2569464.27031375</v>
      </c>
      <c r="I84" s="754" t="e">
        <f>-Sch_Deb!Q$76</f>
        <v>#REF!</v>
      </c>
      <c r="J84" s="754" t="e">
        <f>-Sch_Deb!R$76</f>
        <v>#REF!</v>
      </c>
      <c r="K84" s="754" t="e">
        <f>-Sch_Deb!S$76</f>
        <v>#REF!</v>
      </c>
      <c r="L84" s="754" t="e">
        <f>-Sch_Deb!T$76</f>
        <v>#REF!</v>
      </c>
      <c r="M84" s="754" t="e">
        <f>-Sch_Deb!U$76</f>
        <v>#REF!</v>
      </c>
      <c r="N84" s="490"/>
      <c r="P84" s="977"/>
      <c r="Q84" s="980"/>
      <c r="R84" s="981"/>
      <c r="S84" s="981"/>
      <c r="T84" s="981"/>
      <c r="U84" s="981"/>
      <c r="V84" s="981"/>
      <c r="W84" s="981"/>
      <c r="X84" s="977"/>
    </row>
    <row r="85" spans="2:24" ht="19" x14ac:dyDescent="0.25">
      <c r="B85" s="750" t="s">
        <v>402</v>
      </c>
      <c r="C85" s="757">
        <v>6764453</v>
      </c>
      <c r="D85" s="757">
        <v>9072106</v>
      </c>
      <c r="E85" s="757">
        <v>9343499</v>
      </c>
      <c r="F85" s="757">
        <v>9163690</v>
      </c>
      <c r="G85" s="757">
        <v>9355318</v>
      </c>
      <c r="H85" s="758">
        <f>SUM(H83:H84)</f>
        <v>4135760.72968625</v>
      </c>
      <c r="I85" s="758" t="e">
        <f t="shared" ref="I85:M85" si="14">SUM(I83:I84)</f>
        <v>#REF!</v>
      </c>
      <c r="J85" s="758" t="e">
        <f t="shared" si="14"/>
        <v>#REF!</v>
      </c>
      <c r="K85" s="758" t="e">
        <f t="shared" si="14"/>
        <v>#REF!</v>
      </c>
      <c r="L85" s="758" t="e">
        <f t="shared" si="14"/>
        <v>#REF!</v>
      </c>
      <c r="M85" s="758" t="e">
        <f t="shared" si="14"/>
        <v>#REF!</v>
      </c>
      <c r="N85" s="490"/>
      <c r="P85" s="977"/>
      <c r="Q85" s="979"/>
      <c r="R85" s="981"/>
      <c r="S85" s="981"/>
      <c r="T85" s="981"/>
      <c r="U85" s="981"/>
      <c r="V85" s="981"/>
      <c r="W85" s="981"/>
      <c r="X85" s="977"/>
    </row>
    <row r="86" spans="2:24" ht="19" x14ac:dyDescent="0.25">
      <c r="B86" s="747" t="s">
        <v>403</v>
      </c>
      <c r="C86" s="489">
        <v>11031689</v>
      </c>
      <c r="D86" s="489">
        <v>12512707</v>
      </c>
      <c r="E86" s="489">
        <v>12472676</v>
      </c>
      <c r="F86" s="489">
        <v>6721305</v>
      </c>
      <c r="G86" s="489">
        <v>2288414</v>
      </c>
      <c r="H86" s="754">
        <f>SUM(H80,H85)</f>
        <v>7412126.2536862502</v>
      </c>
      <c r="I86" s="754" t="e">
        <f t="shared" ref="I86:M86" si="15">SUM(I80,I85)</f>
        <v>#REF!</v>
      </c>
      <c r="J86" s="754" t="e">
        <f t="shared" si="15"/>
        <v>#REF!</v>
      </c>
      <c r="K86" s="754" t="e">
        <f t="shared" si="15"/>
        <v>#REF!</v>
      </c>
      <c r="L86" s="754" t="e">
        <f t="shared" si="15"/>
        <v>#REF!</v>
      </c>
      <c r="M86" s="754" t="e">
        <f t="shared" si="15"/>
        <v>#REF!</v>
      </c>
      <c r="N86" s="490"/>
      <c r="P86" s="977"/>
      <c r="Q86" s="980"/>
      <c r="R86" s="981"/>
      <c r="S86" s="981"/>
      <c r="T86" s="981"/>
      <c r="U86" s="981"/>
      <c r="V86" s="981"/>
      <c r="W86" s="981"/>
      <c r="X86" s="977"/>
    </row>
    <row r="87" spans="2:24" ht="19" x14ac:dyDescent="0.25">
      <c r="C87" s="489"/>
      <c r="D87" s="489"/>
      <c r="E87" s="489"/>
      <c r="F87" s="489"/>
      <c r="G87" s="489"/>
      <c r="H87" s="754">
        <f t="shared" ref="H87:M87" si="16">H71-H86</f>
        <v>593219.33907139674</v>
      </c>
      <c r="I87" s="754" t="e">
        <f t="shared" si="16"/>
        <v>#REF!</v>
      </c>
      <c r="J87" s="754" t="e">
        <f t="shared" si="16"/>
        <v>#REF!</v>
      </c>
      <c r="K87" s="754" t="e">
        <f t="shared" si="16"/>
        <v>#REF!</v>
      </c>
      <c r="L87" s="754" t="e">
        <f t="shared" si="16"/>
        <v>#REF!</v>
      </c>
      <c r="M87" s="754" t="e">
        <f t="shared" si="16"/>
        <v>#REF!</v>
      </c>
      <c r="N87" s="490"/>
      <c r="P87" s="977"/>
      <c r="Q87" s="980"/>
      <c r="R87" s="981"/>
      <c r="S87" s="981"/>
      <c r="T87" s="981"/>
      <c r="U87" s="981"/>
      <c r="V87" s="981"/>
      <c r="W87" s="981"/>
      <c r="X87" s="977"/>
    </row>
    <row r="88" spans="2:24" ht="19" x14ac:dyDescent="0.25">
      <c r="C88" s="489"/>
      <c r="D88" s="489"/>
      <c r="E88" s="489"/>
      <c r="F88" s="489"/>
      <c r="G88" s="489"/>
      <c r="H88" s="490">
        <f t="shared" ref="H88:L88" si="17">H86-H71</f>
        <v>-593219.33907139674</v>
      </c>
      <c r="I88" s="490" t="e">
        <f t="shared" si="17"/>
        <v>#REF!</v>
      </c>
      <c r="J88" s="490" t="e">
        <f t="shared" si="17"/>
        <v>#REF!</v>
      </c>
      <c r="K88" s="490" t="e">
        <f t="shared" si="17"/>
        <v>#REF!</v>
      </c>
      <c r="L88" s="490" t="e">
        <f t="shared" si="17"/>
        <v>#REF!</v>
      </c>
      <c r="M88" s="490" t="e">
        <f>M86-M71</f>
        <v>#REF!</v>
      </c>
      <c r="N88" s="490"/>
      <c r="P88" s="977"/>
      <c r="Q88" s="979"/>
      <c r="R88" s="982"/>
      <c r="S88" s="982"/>
      <c r="T88" s="982"/>
      <c r="U88" s="982"/>
      <c r="V88" s="982"/>
      <c r="W88" s="982"/>
      <c r="X88" s="977"/>
    </row>
    <row r="89" spans="2:24" ht="19" x14ac:dyDescent="0.25">
      <c r="C89" s="489"/>
      <c r="D89" s="489"/>
      <c r="E89" s="489"/>
      <c r="F89" s="489"/>
      <c r="G89" s="489"/>
      <c r="H89" s="821">
        <f t="shared" ref="H89:L89" si="18">H88/H66</f>
        <v>-7.4102901891965306E-2</v>
      </c>
      <c r="I89" s="821" t="e">
        <f t="shared" si="18"/>
        <v>#REF!</v>
      </c>
      <c r="J89" s="821" t="e">
        <f t="shared" si="18"/>
        <v>#REF!</v>
      </c>
      <c r="K89" s="821" t="e">
        <f t="shared" si="18"/>
        <v>#REF!</v>
      </c>
      <c r="L89" s="821" t="e">
        <f t="shared" si="18"/>
        <v>#REF!</v>
      </c>
      <c r="M89" s="821" t="e">
        <f>M88/M66</f>
        <v>#REF!</v>
      </c>
      <c r="N89" s="490"/>
      <c r="P89" s="977"/>
      <c r="Q89" s="979"/>
      <c r="R89" s="982"/>
      <c r="S89" s="982"/>
      <c r="T89" s="982"/>
      <c r="U89" s="982"/>
      <c r="V89" s="982"/>
      <c r="W89" s="982"/>
      <c r="X89" s="977"/>
    </row>
    <row r="90" spans="2:24" x14ac:dyDescent="0.2">
      <c r="P90" s="977"/>
      <c r="Q90" s="977"/>
      <c r="R90" s="977"/>
      <c r="S90" s="977"/>
      <c r="T90" s="977"/>
      <c r="U90" s="977"/>
      <c r="V90" s="977"/>
      <c r="W90" s="977"/>
      <c r="X90" s="977"/>
    </row>
    <row r="91" spans="2:24" x14ac:dyDescent="0.2">
      <c r="P91" s="977"/>
      <c r="Q91" s="977"/>
      <c r="R91" s="977"/>
      <c r="S91" s="977"/>
      <c r="T91" s="977"/>
      <c r="U91" s="977"/>
      <c r="V91" s="977"/>
      <c r="W91" s="977"/>
      <c r="X91" s="977"/>
    </row>
    <row r="92" spans="2:24" x14ac:dyDescent="0.2">
      <c r="P92" s="977"/>
      <c r="Q92" s="977"/>
      <c r="R92" s="977"/>
      <c r="S92" s="977"/>
      <c r="T92" s="977"/>
      <c r="U92" s="977"/>
      <c r="V92" s="977"/>
      <c r="W92" s="977"/>
      <c r="X92" s="977"/>
    </row>
  </sheetData>
  <mergeCells count="2">
    <mergeCell ref="A1:B1"/>
    <mergeCell ref="R73:W73"/>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07E98-2F95-AA49-9C81-D9F68458B3DB}">
  <sheetPr>
    <tabColor theme="4" tint="0.59999389629810485"/>
  </sheetPr>
  <dimension ref="A1:AS37"/>
  <sheetViews>
    <sheetView topLeftCell="G1" zoomScale="58" zoomScaleNormal="80" workbookViewId="0">
      <pane ySplit="920" activePane="bottomLeft"/>
      <selection pane="bottomLeft" activeCell="D5" sqref="D5:D14"/>
    </sheetView>
  </sheetViews>
  <sheetFormatPr baseColWidth="10" defaultColWidth="10.83203125" defaultRowHeight="16" x14ac:dyDescent="0.2"/>
  <cols>
    <col min="1" max="3" width="10.83203125" style="777"/>
    <col min="4" max="4" width="31.83203125" style="777" customWidth="1"/>
    <col min="5" max="5" width="12.83203125" style="777" bestFit="1" customWidth="1"/>
    <col min="6" max="6" width="11" style="777" bestFit="1" customWidth="1"/>
    <col min="7" max="7" width="23.6640625" style="777" customWidth="1"/>
    <col min="8" max="8" width="11" style="777" bestFit="1" customWidth="1"/>
    <col min="9" max="9" width="18.5" style="777" customWidth="1"/>
    <col min="10" max="10" width="12.1640625" style="777" bestFit="1" customWidth="1"/>
    <col min="11" max="14" width="11" style="777" bestFit="1" customWidth="1"/>
    <col min="15" max="15" width="10.83203125" style="777" customWidth="1"/>
    <col min="16" max="26" width="11" style="777" bestFit="1" customWidth="1"/>
    <col min="27" max="27" width="9.83203125" style="777" customWidth="1"/>
    <col min="28" max="31" width="11" style="777" bestFit="1" customWidth="1"/>
    <col min="32" max="16384" width="10.83203125" style="777"/>
  </cols>
  <sheetData>
    <row r="1" spans="1:45" s="992" customFormat="1" x14ac:dyDescent="0.2">
      <c r="A1" s="1164"/>
      <c r="B1" s="1164"/>
      <c r="C1" s="1164"/>
      <c r="D1" s="1164"/>
      <c r="E1" s="1164"/>
      <c r="F1" s="1164"/>
    </row>
    <row r="2" spans="1:45" s="992" customFormat="1" x14ac:dyDescent="0.2">
      <c r="A2" s="1164"/>
      <c r="B2" s="1164"/>
      <c r="C2" s="1164"/>
      <c r="D2" s="1164"/>
      <c r="E2" s="1164"/>
      <c r="F2" s="1164"/>
    </row>
    <row r="3" spans="1:45" s="992" customFormat="1" x14ac:dyDescent="0.2">
      <c r="I3" s="992">
        <v>2022</v>
      </c>
      <c r="J3" s="992">
        <v>2023</v>
      </c>
      <c r="K3" s="992">
        <v>2024</v>
      </c>
      <c r="L3" s="992">
        <v>2025</v>
      </c>
      <c r="M3" s="992">
        <v>2026</v>
      </c>
      <c r="N3" s="992">
        <v>2027</v>
      </c>
      <c r="O3" s="992">
        <v>2028</v>
      </c>
      <c r="P3" s="992">
        <v>2029</v>
      </c>
      <c r="Q3" s="992">
        <v>2030</v>
      </c>
      <c r="R3" s="992">
        <v>2031</v>
      </c>
      <c r="S3" s="992">
        <v>2032</v>
      </c>
      <c r="T3" s="992">
        <v>2033</v>
      </c>
      <c r="U3" s="992">
        <v>2034</v>
      </c>
      <c r="V3" s="992">
        <v>2035</v>
      </c>
      <c r="W3" s="992">
        <v>2036</v>
      </c>
      <c r="X3" s="992">
        <v>2037</v>
      </c>
    </row>
    <row r="4" spans="1:45" x14ac:dyDescent="0.2">
      <c r="E4" s="990">
        <v>2018</v>
      </c>
      <c r="F4" s="990">
        <v>2019</v>
      </c>
      <c r="G4" s="990">
        <v>2020</v>
      </c>
      <c r="H4" s="990">
        <v>2021</v>
      </c>
      <c r="I4" s="991" t="s">
        <v>0</v>
      </c>
      <c r="J4" s="991" t="s">
        <v>1</v>
      </c>
      <c r="K4" s="991" t="s">
        <v>2</v>
      </c>
      <c r="L4" s="991" t="s">
        <v>3</v>
      </c>
      <c r="M4" s="991" t="s">
        <v>4</v>
      </c>
      <c r="N4" s="991" t="s">
        <v>5</v>
      </c>
      <c r="O4" s="802" t="s">
        <v>533</v>
      </c>
      <c r="P4" s="802" t="s">
        <v>534</v>
      </c>
      <c r="Q4" s="802" t="s">
        <v>535</v>
      </c>
      <c r="R4" s="802" t="s">
        <v>536</v>
      </c>
      <c r="S4" s="802" t="s">
        <v>537</v>
      </c>
      <c r="T4" s="802" t="s">
        <v>538</v>
      </c>
      <c r="U4" s="802" t="s">
        <v>539</v>
      </c>
      <c r="V4" s="802" t="s">
        <v>540</v>
      </c>
      <c r="W4" s="802" t="s">
        <v>541</v>
      </c>
      <c r="X4" s="802" t="s">
        <v>542</v>
      </c>
    </row>
    <row r="5" spans="1:45" x14ac:dyDescent="0.2">
      <c r="D5" s="779" t="s">
        <v>517</v>
      </c>
      <c r="E5" s="778">
        <f>'Pro_Forma IS'!D28</f>
        <v>2259611</v>
      </c>
      <c r="F5" s="778">
        <f>'Pro_Forma IS'!E28</f>
        <v>2211577</v>
      </c>
      <c r="G5" s="778">
        <f>'Pro_Forma IS'!F28</f>
        <v>-275901</v>
      </c>
      <c r="H5" s="778">
        <f>'Pro_Forma IS'!G28</f>
        <v>46118.320094863884</v>
      </c>
      <c r="I5" s="778">
        <f>'Pro_Forma IS'!H28</f>
        <v>687792.77585230768</v>
      </c>
      <c r="J5" s="778">
        <f>'Pro_Forma IS'!I28</f>
        <v>1618801.2947551701</v>
      </c>
      <c r="K5" s="778">
        <f>'Pro_Forma IS'!J28</f>
        <v>2681874.2659198418</v>
      </c>
      <c r="L5" s="778">
        <f>'Pro_Forma IS'!K28</f>
        <v>2792090.8428097293</v>
      </c>
      <c r="M5" s="778">
        <f>'Pro_Forma IS'!L28</f>
        <v>2675617.6573049817</v>
      </c>
      <c r="N5" s="778">
        <f>'Pro_Forma IS'!M28</f>
        <v>3060091.2436628789</v>
      </c>
      <c r="O5" s="873">
        <f>N5</f>
        <v>3060091.2436628789</v>
      </c>
      <c r="P5" s="873">
        <f t="shared" ref="P5:S5" si="0">O5</f>
        <v>3060091.2436628789</v>
      </c>
      <c r="Q5" s="873">
        <f t="shared" si="0"/>
        <v>3060091.2436628789</v>
      </c>
      <c r="R5" s="873">
        <f t="shared" si="0"/>
        <v>3060091.2436628789</v>
      </c>
      <c r="S5" s="873">
        <f t="shared" si="0"/>
        <v>3060091.2436628789</v>
      </c>
      <c r="T5" s="873">
        <f t="shared" ref="T5" si="1">S5</f>
        <v>3060091.2436628789</v>
      </c>
      <c r="U5" s="873">
        <f t="shared" ref="U5" si="2">T5</f>
        <v>3060091.2436628789</v>
      </c>
      <c r="V5" s="873">
        <f t="shared" ref="V5" si="3">U5</f>
        <v>3060091.2436628789</v>
      </c>
      <c r="W5" s="873">
        <f t="shared" ref="W5" si="4">V5</f>
        <v>3060091.2436628789</v>
      </c>
      <c r="X5" s="873">
        <f t="shared" ref="X5" si="5">W5</f>
        <v>3060091.2436628789</v>
      </c>
    </row>
    <row r="6" spans="1:45" x14ac:dyDescent="0.2">
      <c r="D6" s="779" t="s">
        <v>543</v>
      </c>
      <c r="E6" s="778">
        <f>-('Pro_Forma BS'!D61-'Pro_Forma BS'!C61)</f>
        <v>-74311.000000000466</v>
      </c>
      <c r="F6" s="778">
        <f>-('Pro_Forma BS'!E61-'Pro_Forma BS'!D61)</f>
        <v>963622.0000000014</v>
      </c>
      <c r="G6" s="778">
        <f>-('Pro_Forma BS'!F61-'Pro_Forma BS'!E61)</f>
        <v>278714.99999999907</v>
      </c>
      <c r="H6" s="778">
        <f>-('Pro_Forma BS'!G61-'Pro_Forma BS'!F61)</f>
        <v>2783730</v>
      </c>
      <c r="I6" s="778">
        <f>-('Pro_Forma BS'!H61-'Pro_Forma BS'!G61)</f>
        <v>-5781158.7456078501</v>
      </c>
      <c r="J6" s="778">
        <f>-('Pro_Forma BS'!I61-'Pro_Forma BS'!H61)</f>
        <v>179683.76134701725</v>
      </c>
      <c r="K6" s="778">
        <f>-('Pro_Forma BS'!J61-'Pro_Forma BS'!I61)</f>
        <v>-43960.3050027024</v>
      </c>
      <c r="L6" s="778">
        <f>-('Pro_Forma BS'!K61-'Pro_Forma BS'!J61)</f>
        <v>83446.703354466241</v>
      </c>
      <c r="M6" s="778">
        <f>-('Pro_Forma BS'!L61-'Pro_Forma BS'!K61)</f>
        <v>181872.83380929707</v>
      </c>
      <c r="N6" s="778">
        <f>-('Pro_Forma BS'!M61-'Pro_Forma BS'!L61)</f>
        <v>65353.600264426321</v>
      </c>
      <c r="O6" s="778">
        <f>N6-($N$6/5)</f>
        <v>52282.880211541058</v>
      </c>
      <c r="P6" s="778">
        <f t="shared" ref="P6:S6" si="6">O6-($N$6/5)</f>
        <v>39212.160158655795</v>
      </c>
      <c r="Q6" s="778">
        <f t="shared" si="6"/>
        <v>26141.440105770533</v>
      </c>
      <c r="R6" s="778">
        <f t="shared" si="6"/>
        <v>13070.720052885268</v>
      </c>
      <c r="S6" s="778">
        <f t="shared" si="6"/>
        <v>0</v>
      </c>
      <c r="T6" s="778">
        <f t="shared" ref="T6" si="7">S6-($N$6/5)</f>
        <v>-13070.720052885265</v>
      </c>
      <c r="U6" s="778">
        <f t="shared" ref="U6" si="8">T6-($N$6/5)</f>
        <v>-26141.440105770529</v>
      </c>
      <c r="V6" s="778">
        <f t="shared" ref="V6" si="9">U6-($N$6/5)</f>
        <v>-39212.160158655795</v>
      </c>
      <c r="W6" s="778">
        <f t="shared" ref="W6" si="10">V6-($N$6/5)</f>
        <v>-52282.880211541058</v>
      </c>
      <c r="X6" s="778">
        <f t="shared" ref="X6" si="11">W6-($N$6/5)</f>
        <v>-65353.600264426321</v>
      </c>
      <c r="AA6" s="777" t="s">
        <v>470</v>
      </c>
      <c r="AB6" s="777">
        <f>2%</f>
        <v>0.02</v>
      </c>
      <c r="AC6" s="813"/>
    </row>
    <row r="7" spans="1:45" x14ac:dyDescent="0.2">
      <c r="D7" s="779" t="s">
        <v>544</v>
      </c>
      <c r="E7" s="516">
        <f>IF(26%*'Pro_Forma IS'!D31&gt;0,-26%*'Pro_Forma IS'!D31,0)</f>
        <v>-230615.58000000002</v>
      </c>
      <c r="F7" s="516">
        <f>IF(26%*'Pro_Forma IS'!E31&gt;0,-26%*'Pro_Forma IS'!E31,0)</f>
        <v>-192816.26</v>
      </c>
      <c r="G7" s="516">
        <f>IF(26%*'Pro_Forma IS'!F31&gt;0,-26%*'Pro_Forma IS'!F31,0)</f>
        <v>0</v>
      </c>
      <c r="H7" s="516">
        <f>IF(26%*'Pro_Forma IS'!G31&gt;0,-26%*'Pro_Forma IS'!G31,0)</f>
        <v>0</v>
      </c>
      <c r="I7" s="516">
        <f>-'Pro_Forma IS'!H31*26%</f>
        <v>128946.69285536447</v>
      </c>
      <c r="J7" s="516">
        <f>-'Pro_Forma IS'!I31*26%</f>
        <v>-96262.907292337681</v>
      </c>
      <c r="K7" s="516">
        <f>-'Pro_Forma IS'!J31*26%</f>
        <v>-365647.29157969222</v>
      </c>
      <c r="L7" s="516">
        <f>-'Pro_Forma IS'!K31*26%</f>
        <v>-382887.46791086521</v>
      </c>
      <c r="M7" s="516">
        <f>-'Pro_Forma IS'!L31*26%</f>
        <v>-341037.39736328047</v>
      </c>
      <c r="N7" s="516">
        <f>-'Pro_Forma IS'!M31*26%</f>
        <v>-425345.07091271848</v>
      </c>
      <c r="O7" s="516">
        <f>N7*(1.02)</f>
        <v>-433851.97233097284</v>
      </c>
      <c r="P7" s="516">
        <f t="shared" ref="P7:S7" si="12">O7*(1.02)</f>
        <v>-442529.0117775923</v>
      </c>
      <c r="Q7" s="516">
        <f t="shared" si="12"/>
        <v>-451379.59201314417</v>
      </c>
      <c r="R7" s="516">
        <f t="shared" si="12"/>
        <v>-460407.18385340704</v>
      </c>
      <c r="S7" s="516">
        <f t="shared" si="12"/>
        <v>-469615.32753047522</v>
      </c>
      <c r="T7" s="516">
        <f t="shared" ref="T7" si="13">S7*(1.02)</f>
        <v>-479007.63408108475</v>
      </c>
      <c r="U7" s="516">
        <f t="shared" ref="U7" si="14">T7*(1.02)</f>
        <v>-488587.78676270647</v>
      </c>
      <c r="V7" s="516">
        <f t="shared" ref="V7" si="15">U7*(1.02)</f>
        <v>-498359.54249796062</v>
      </c>
      <c r="W7" s="516">
        <f t="shared" ref="W7" si="16">V7*(1.02)</f>
        <v>-508326.73334791983</v>
      </c>
      <c r="X7" s="516">
        <f t="shared" ref="X7" si="17">W7*(1.02)</f>
        <v>-518493.26801487821</v>
      </c>
      <c r="AA7" s="777" t="s">
        <v>1293</v>
      </c>
      <c r="AB7" s="777">
        <f>9.57%</f>
        <v>9.5700000000000007E-2</v>
      </c>
    </row>
    <row r="8" spans="1:45" x14ac:dyDescent="0.2">
      <c r="D8" s="779" t="s">
        <v>545</v>
      </c>
      <c r="E8" s="516"/>
      <c r="F8" s="516"/>
      <c r="G8" s="516"/>
      <c r="H8" s="516"/>
      <c r="I8" s="516">
        <f>Cap_Inc!$M$39</f>
        <v>4561861</v>
      </c>
      <c r="J8" s="827">
        <f t="shared" ref="J8:M8" si="18">J9/I9-1</f>
        <v>-5.2285111162475211</v>
      </c>
      <c r="K8" s="827">
        <f t="shared" si="18"/>
        <v>0.33488256566638963</v>
      </c>
      <c r="L8" s="827">
        <f t="shared" si="18"/>
        <v>9.6988356115852659E-2</v>
      </c>
      <c r="M8" s="827">
        <f t="shared" si="18"/>
        <v>9.5492807856718542E-3</v>
      </c>
      <c r="N8" s="827">
        <f>N9/M9-1</f>
        <v>7.2978383630368793E-2</v>
      </c>
      <c r="O8" s="812">
        <f>O9/N9-1</f>
        <v>6.7680545267331915E-2</v>
      </c>
      <c r="P8" s="812">
        <f t="shared" ref="P8:S8" si="19">P9/O9-1</f>
        <v>6.2382706904295038E-2</v>
      </c>
      <c r="Q8" s="812">
        <f t="shared" si="19"/>
        <v>5.708486854125816E-2</v>
      </c>
      <c r="R8" s="812">
        <f t="shared" si="19"/>
        <v>5.1787030178221283E-2</v>
      </c>
      <c r="S8" s="812">
        <f t="shared" si="19"/>
        <v>4.6489191815184405E-2</v>
      </c>
      <c r="T8" s="812">
        <f t="shared" ref="T8" si="20">T9/S9-1</f>
        <v>4.1191353452147528E-2</v>
      </c>
      <c r="U8" s="812">
        <f t="shared" ref="U8" si="21">U9/T9-1</f>
        <v>3.589351508911065E-2</v>
      </c>
      <c r="V8" s="812">
        <f t="shared" ref="V8" si="22">V9/U9-1</f>
        <v>3.0595676726073773E-2</v>
      </c>
      <c r="W8" s="812">
        <f t="shared" ref="W8" si="23">W9/V9-1</f>
        <v>2.5297838363036895E-2</v>
      </c>
      <c r="X8" s="812">
        <f t="shared" ref="X8" si="24">X9/W9-1</f>
        <v>2.0000000000000018E-2</v>
      </c>
    </row>
    <row r="9" spans="1:45" ht="17" thickBot="1" x14ac:dyDescent="0.25">
      <c r="D9" s="987" t="s">
        <v>546</v>
      </c>
      <c r="E9" s="988">
        <f>E5+E6+E7</f>
        <v>1954684.4199999995</v>
      </c>
      <c r="F9" s="988">
        <f t="shared" ref="F9:N9" si="25">F5+F6+F7</f>
        <v>2982382.7400000012</v>
      </c>
      <c r="G9" s="988">
        <f t="shared" si="25"/>
        <v>2813.9999999990687</v>
      </c>
      <c r="H9" s="988">
        <f t="shared" si="25"/>
        <v>2829848.3200948639</v>
      </c>
      <c r="I9" s="989">
        <f>I5+I6+I7+I8</f>
        <v>-402558.27690017782</v>
      </c>
      <c r="J9" s="989">
        <f>J5+J6+J7</f>
        <v>1702222.1488098498</v>
      </c>
      <c r="K9" s="989">
        <f t="shared" si="25"/>
        <v>2272266.6693374473</v>
      </c>
      <c r="L9" s="989">
        <f t="shared" si="25"/>
        <v>2492650.0782533302</v>
      </c>
      <c r="M9" s="989">
        <f t="shared" si="25"/>
        <v>2516453.0937509984</v>
      </c>
      <c r="N9" s="989">
        <f t="shared" si="25"/>
        <v>2700099.7730145869</v>
      </c>
      <c r="O9" s="989">
        <f>N9*(1+AJ10)</f>
        <v>2882843.9979284131</v>
      </c>
      <c r="P9" s="989">
        <f>O9*(1+AK10)</f>
        <v>3062683.6101019876</v>
      </c>
      <c r="Q9" s="989">
        <f>P9*(1+AL10)</f>
        <v>3237516.5013681254</v>
      </c>
      <c r="R9" s="989">
        <f>Q9*(1+AM10)</f>
        <v>3405177.8661269657</v>
      </c>
      <c r="S9" s="989">
        <f>R9*(1+AN10)</f>
        <v>3563481.8331101625</v>
      </c>
      <c r="T9" s="989">
        <f t="shared" ref="T9:X9" si="26">S9*(1+AO10)</f>
        <v>3710266.4728181097</v>
      </c>
      <c r="U9" s="989">
        <f t="shared" si="26"/>
        <v>3843440.9784448277</v>
      </c>
      <c r="V9" s="989">
        <f t="shared" si="26"/>
        <v>3961033.6561370702</v>
      </c>
      <c r="W9" s="989">
        <f t="shared" si="26"/>
        <v>4061239.2453205748</v>
      </c>
      <c r="X9" s="989">
        <f t="shared" si="26"/>
        <v>4142464.0302269864</v>
      </c>
      <c r="AG9" s="777" t="s">
        <v>547</v>
      </c>
      <c r="AH9" s="811">
        <v>0.02</v>
      </c>
      <c r="AJ9" s="777">
        <v>1</v>
      </c>
      <c r="AK9" s="777">
        <v>2</v>
      </c>
      <c r="AL9" s="777">
        <v>3</v>
      </c>
      <c r="AM9" s="777">
        <v>4</v>
      </c>
      <c r="AN9" s="777">
        <v>5</v>
      </c>
      <c r="AO9" s="777">
        <v>6</v>
      </c>
      <c r="AP9" s="777">
        <v>7</v>
      </c>
      <c r="AQ9" s="777">
        <v>8</v>
      </c>
      <c r="AR9" s="777">
        <v>9</v>
      </c>
      <c r="AS9" s="777">
        <v>10</v>
      </c>
    </row>
    <row r="10" spans="1:45" ht="17" thickTop="1" x14ac:dyDescent="0.2">
      <c r="D10" s="779" t="s">
        <v>548</v>
      </c>
      <c r="E10" s="516"/>
      <c r="F10" s="516"/>
      <c r="G10" s="516"/>
      <c r="H10" s="516"/>
      <c r="I10" s="778">
        <f>-CAPEX!AV114</f>
        <v>-1231085.2489897946</v>
      </c>
      <c r="J10" s="778">
        <f>-CAPEX!AW114</f>
        <v>-1954840.6590323029</v>
      </c>
      <c r="K10" s="778">
        <f>-CAPEX!AX114</f>
        <v>-1307354.2874572929</v>
      </c>
      <c r="L10" s="778">
        <f>-CAPEX!AY114</f>
        <v>-1590993.8554037258</v>
      </c>
      <c r="M10" s="778">
        <f>-CAPEX!AZ114</f>
        <v>-1601573.164970208</v>
      </c>
      <c r="N10" s="778">
        <f>-CAPEX!BA114</f>
        <v>-1872582.9223248351</v>
      </c>
      <c r="O10" s="778" t="e">
        <f t="shared" ref="O10:W10" ca="1" si="27">(N10-(($N$10-$X$10)/10))</f>
        <v>#REF!</v>
      </c>
      <c r="P10" s="778" t="e">
        <f t="shared" ca="1" si="27"/>
        <v>#REF!</v>
      </c>
      <c r="Q10" s="778" t="e">
        <f t="shared" ca="1" si="27"/>
        <v>#REF!</v>
      </c>
      <c r="R10" s="778" t="e">
        <f t="shared" ca="1" si="27"/>
        <v>#REF!</v>
      </c>
      <c r="S10" s="778" t="e">
        <f t="shared" ca="1" si="27"/>
        <v>#REF!</v>
      </c>
      <c r="T10" s="778" t="e">
        <f t="shared" ca="1" si="27"/>
        <v>#REF!</v>
      </c>
      <c r="U10" s="778" t="e">
        <f t="shared" ca="1" si="27"/>
        <v>#REF!</v>
      </c>
      <c r="V10" s="778" t="e">
        <f t="shared" ca="1" si="27"/>
        <v>#REF!</v>
      </c>
      <c r="W10" s="778" t="e">
        <f t="shared" ca="1" si="27"/>
        <v>#REF!</v>
      </c>
      <c r="X10" s="778" t="e">
        <f ca="1">1.05*$X$21</f>
        <v>#REF!</v>
      </c>
      <c r="AG10" s="777" t="s">
        <v>549</v>
      </c>
      <c r="AH10" s="777">
        <f>(AH11-AH9)/10</f>
        <v>5.2978383630368792E-3</v>
      </c>
      <c r="AJ10" s="826">
        <f>AH11-$AH$10</f>
        <v>6.7680545267331915E-2</v>
      </c>
      <c r="AK10" s="826">
        <f>AJ10-$AH$10</f>
        <v>6.2382706904295038E-2</v>
      </c>
      <c r="AL10" s="826">
        <f t="shared" ref="AL10:AS10" si="28">AK10-$AH$10</f>
        <v>5.708486854125816E-2</v>
      </c>
      <c r="AM10" s="826">
        <f t="shared" si="28"/>
        <v>5.1787030178221283E-2</v>
      </c>
      <c r="AN10" s="826">
        <f t="shared" si="28"/>
        <v>4.6489191815184405E-2</v>
      </c>
      <c r="AO10" s="826">
        <f t="shared" si="28"/>
        <v>4.1191353452147528E-2</v>
      </c>
      <c r="AP10" s="826">
        <f t="shared" si="28"/>
        <v>3.589351508911065E-2</v>
      </c>
      <c r="AQ10" s="826">
        <f t="shared" si="28"/>
        <v>3.0595676726073773E-2</v>
      </c>
      <c r="AR10" s="826">
        <f t="shared" si="28"/>
        <v>2.5297838363036895E-2</v>
      </c>
      <c r="AS10" s="826">
        <f t="shared" si="28"/>
        <v>2.0000000000000018E-2</v>
      </c>
    </row>
    <row r="11" spans="1:45" x14ac:dyDescent="0.2">
      <c r="D11" s="986" t="s">
        <v>550</v>
      </c>
      <c r="E11" s="780">
        <f>SUM(E9:E10)</f>
        <v>1954684.4199999995</v>
      </c>
      <c r="F11" s="780">
        <f t="shared" ref="F11:N11" si="29">SUM(F9:F10)</f>
        <v>2982382.7400000012</v>
      </c>
      <c r="G11" s="780">
        <f t="shared" si="29"/>
        <v>2813.9999999990687</v>
      </c>
      <c r="H11" s="780">
        <f t="shared" si="29"/>
        <v>2829848.3200948639</v>
      </c>
      <c r="I11" s="729">
        <f>SUM(I9:I10)</f>
        <v>-1633643.5258899725</v>
      </c>
      <c r="J11" s="729">
        <f>SUM(J9:J10)</f>
        <v>-252618.51022245316</v>
      </c>
      <c r="K11" s="729">
        <f>SUM(K9:K10)</f>
        <v>964912.38188015437</v>
      </c>
      <c r="L11" s="729">
        <f t="shared" si="29"/>
        <v>901656.22284960444</v>
      </c>
      <c r="M11" s="729">
        <f t="shared" si="29"/>
        <v>914879.92878079042</v>
      </c>
      <c r="N11" s="729">
        <f t="shared" si="29"/>
        <v>827516.85068975179</v>
      </c>
      <c r="O11" s="808">
        <f>M11*(1+O12)</f>
        <v>976799.50121481216</v>
      </c>
      <c r="P11" s="808">
        <f>O11*(1+P12)</f>
        <v>1037734.8982033574</v>
      </c>
      <c r="Q11" s="808">
        <f t="shared" ref="Q11:S11" si="30">P11*(1+Q12)</f>
        <v>1096973.858447972</v>
      </c>
      <c r="R11" s="808">
        <f t="shared" si="30"/>
        <v>1153782.876760137</v>
      </c>
      <c r="S11" s="808">
        <f t="shared" si="30"/>
        <v>1207421.3102309143</v>
      </c>
      <c r="T11" s="808">
        <f t="shared" ref="T11" si="31">S11*(1+T12)</f>
        <v>1257156.6281862909</v>
      </c>
      <c r="U11" s="808">
        <f t="shared" ref="U11" si="32">T11*(1+U12)</f>
        <v>1302280.3985894709</v>
      </c>
      <c r="V11" s="808">
        <f t="shared" ref="V11" si="33">U11*(1+V12)</f>
        <v>1342124.5486714169</v>
      </c>
      <c r="W11" s="808">
        <f t="shared" ref="W11" si="34">V11*(1+W12)</f>
        <v>1376077.3985667704</v>
      </c>
      <c r="X11" s="808">
        <f t="shared" ref="X11" si="35">W11*(1+X12)</f>
        <v>1403598.9465381058</v>
      </c>
      <c r="AG11" s="777" t="s">
        <v>551</v>
      </c>
      <c r="AH11" s="813">
        <f>N8</f>
        <v>7.2978383630368793E-2</v>
      </c>
    </row>
    <row r="12" spans="1:45" x14ac:dyDescent="0.2">
      <c r="D12" s="986" t="s">
        <v>552</v>
      </c>
      <c r="E12" s="780"/>
      <c r="F12" s="780"/>
      <c r="G12" s="780"/>
      <c r="H12" s="780"/>
      <c r="I12" s="729">
        <f>I11+CAPEX!AV112</f>
        <v>-1259643.5258899725</v>
      </c>
      <c r="J12" s="729">
        <f>J11+CAPEX!AW112</f>
        <v>845381.48977754684</v>
      </c>
      <c r="K12" s="729">
        <f>K11+CAPEX!AX112</f>
        <v>1412912.3818801544</v>
      </c>
      <c r="L12" s="729">
        <f>L11+CAPEX!AY112</f>
        <v>1641656.2228496044</v>
      </c>
      <c r="M12" s="729">
        <f>M11+CAPEX!AZ112</f>
        <v>1664879.9287807904</v>
      </c>
      <c r="N12" s="729">
        <f>N11+CAPEX!BA112</f>
        <v>1847516.8506897518</v>
      </c>
      <c r="O12" s="814">
        <f>AJ10</f>
        <v>6.7680545267331915E-2</v>
      </c>
      <c r="P12" s="814">
        <f>AK10</f>
        <v>6.2382706904295038E-2</v>
      </c>
      <c r="Q12" s="814">
        <f>AL10</f>
        <v>5.708486854125816E-2</v>
      </c>
      <c r="R12" s="814">
        <f>AM10</f>
        <v>5.1787030178221283E-2</v>
      </c>
      <c r="S12" s="814">
        <f>AN10</f>
        <v>4.6489191815184405E-2</v>
      </c>
      <c r="T12" s="814">
        <f t="shared" ref="T12:W12" si="36">AO10</f>
        <v>4.1191353452147528E-2</v>
      </c>
      <c r="U12" s="814">
        <f t="shared" si="36"/>
        <v>3.589351508911065E-2</v>
      </c>
      <c r="V12" s="814">
        <f t="shared" si="36"/>
        <v>3.0595676726073773E-2</v>
      </c>
      <c r="W12" s="814">
        <f t="shared" si="36"/>
        <v>2.5297838363036895E-2</v>
      </c>
      <c r="X12" s="814">
        <f>AS10</f>
        <v>2.0000000000000018E-2</v>
      </c>
      <c r="Y12" s="875">
        <f>X11*(1+AB6)/(AB7-AB6)</f>
        <v>18912429.662732732</v>
      </c>
      <c r="Z12" s="916"/>
    </row>
    <row r="13" spans="1:45" x14ac:dyDescent="0.2">
      <c r="D13" s="779" t="s">
        <v>553</v>
      </c>
      <c r="E13" s="516"/>
      <c r="F13" s="516"/>
      <c r="G13" s="516"/>
      <c r="H13" s="516"/>
      <c r="I13" s="805">
        <f t="shared" ref="I13:W13" si="37">1.0957^(I3-2021)</f>
        <v>1.0956999999999999</v>
      </c>
      <c r="J13" s="805">
        <f t="shared" si="37"/>
        <v>1.2005584899999997</v>
      </c>
      <c r="K13" s="805">
        <f t="shared" si="37"/>
        <v>1.3154519374929996</v>
      </c>
      <c r="L13" s="805">
        <f t="shared" si="37"/>
        <v>1.4413406879110793</v>
      </c>
      <c r="M13" s="805">
        <f t="shared" si="37"/>
        <v>1.5792769917441694</v>
      </c>
      <c r="N13" s="805">
        <f t="shared" si="37"/>
        <v>1.7304137998540861</v>
      </c>
      <c r="O13" s="805">
        <f t="shared" si="37"/>
        <v>1.896014400500122</v>
      </c>
      <c r="P13" s="805">
        <f t="shared" si="37"/>
        <v>2.0774629786279832</v>
      </c>
      <c r="Q13" s="805">
        <f t="shared" si="37"/>
        <v>2.276276185682681</v>
      </c>
      <c r="R13" s="805">
        <f t="shared" si="37"/>
        <v>2.494115816652513</v>
      </c>
      <c r="S13" s="805">
        <f t="shared" si="37"/>
        <v>2.7328027003061583</v>
      </c>
      <c r="T13" s="805">
        <f t="shared" si="37"/>
        <v>2.9943319187254573</v>
      </c>
      <c r="U13" s="805">
        <f t="shared" si="37"/>
        <v>3.2808894833474831</v>
      </c>
      <c r="V13" s="805">
        <f t="shared" si="37"/>
        <v>3.5948706069038363</v>
      </c>
      <c r="W13" s="805">
        <f t="shared" si="37"/>
        <v>3.9388997239845334</v>
      </c>
      <c r="X13" s="805">
        <f>1.0957^(X3-2021)</f>
        <v>4.315852427569852</v>
      </c>
    </row>
    <row r="14" spans="1:45" x14ac:dyDescent="0.2">
      <c r="D14" s="779" t="s">
        <v>554</v>
      </c>
      <c r="E14" s="516"/>
      <c r="F14" s="516"/>
      <c r="G14" s="516">
        <v>4425087.3051133137</v>
      </c>
      <c r="H14" s="516"/>
      <c r="I14" s="778">
        <f>I11/I13</f>
        <v>-1490958.7714611413</v>
      </c>
      <c r="J14" s="778">
        <f t="shared" ref="J14:X14" si="38">J11/J13</f>
        <v>-210417.49512966521</v>
      </c>
      <c r="K14" s="778">
        <f t="shared" si="38"/>
        <v>733521.5786895972</v>
      </c>
      <c r="L14" s="778">
        <f t="shared" si="38"/>
        <v>625567.73038605182</v>
      </c>
      <c r="M14" s="778">
        <f t="shared" si="38"/>
        <v>579303.01876328094</v>
      </c>
      <c r="N14" s="778">
        <f t="shared" si="38"/>
        <v>478219.05417047103</v>
      </c>
      <c r="O14" s="778">
        <f t="shared" si="38"/>
        <v>515185.69740670559</v>
      </c>
      <c r="P14" s="778">
        <f t="shared" si="38"/>
        <v>499520.2845389368</v>
      </c>
      <c r="Q14" s="778">
        <f t="shared" si="38"/>
        <v>481915.97546366154</v>
      </c>
      <c r="R14" s="778">
        <f t="shared" si="38"/>
        <v>462601.9646147351</v>
      </c>
      <c r="S14" s="778">
        <f t="shared" si="38"/>
        <v>441825.27706652432</v>
      </c>
      <c r="T14" s="778">
        <f t="shared" si="38"/>
        <v>419845.44877089036</v>
      </c>
      <c r="U14" s="778">
        <f t="shared" si="38"/>
        <v>396929.06609605072</v>
      </c>
      <c r="V14" s="778">
        <f t="shared" si="38"/>
        <v>373344.3273574044</v>
      </c>
      <c r="W14" s="778">
        <f t="shared" si="38"/>
        <v>349355.78333909716</v>
      </c>
      <c r="X14" s="778">
        <f t="shared" si="38"/>
        <v>325219.40221399948</v>
      </c>
      <c r="Y14" s="828">
        <f>Y12/X13</f>
        <v>4382084.4155651182</v>
      </c>
      <c r="AA14" s="777">
        <f>Z24</f>
        <v>10142572.909235382</v>
      </c>
      <c r="AB14" s="777">
        <v>9.1700000000000004E-2</v>
      </c>
      <c r="AC14" s="777">
        <v>9.3700000000000006E-2</v>
      </c>
      <c r="AD14" s="777">
        <v>9.5699999999999993E-2</v>
      </c>
      <c r="AE14" s="777">
        <f>AD14+0.002</f>
        <v>9.7699999999999995E-2</v>
      </c>
      <c r="AF14" s="777">
        <f>AE14+0.002</f>
        <v>9.9699999999999997E-2</v>
      </c>
      <c r="AG14" s="777">
        <f>AF14+0.002</f>
        <v>0.1017</v>
      </c>
      <c r="AH14" s="777">
        <f>AG14+0.002</f>
        <v>0.1037</v>
      </c>
    </row>
    <row r="15" spans="1:45" ht="17" thickBot="1" x14ac:dyDescent="0.25">
      <c r="I15" s="779"/>
      <c r="J15" s="779"/>
      <c r="K15" s="779"/>
      <c r="L15" s="779"/>
      <c r="M15" s="779"/>
      <c r="N15" s="778">
        <f>M11/(0.1-0.02)</f>
        <v>11435999.10975988</v>
      </c>
      <c r="AA15" s="777">
        <v>1.4E-2</v>
      </c>
    </row>
    <row r="16" spans="1:45" x14ac:dyDescent="0.2">
      <c r="D16" s="993" t="s">
        <v>555</v>
      </c>
      <c r="E16" s="994">
        <f>I16*1.0957^(10.5/12)</f>
        <v>10142572.909235382</v>
      </c>
      <c r="H16" s="777">
        <f>Y14/I16</f>
        <v>0.46801826804913499</v>
      </c>
      <c r="I16" s="792">
        <f>SUM(I14:Y14)</f>
        <v>9363062.757851718</v>
      </c>
      <c r="J16" s="792">
        <f>SUM(I14:N14)+(M11/(0.096-0.03))/N13</f>
        <v>8725930.0739933122</v>
      </c>
      <c r="K16" s="779"/>
      <c r="L16" s="779"/>
      <c r="M16" s="779"/>
      <c r="N16" s="729">
        <f>N15/N13</f>
        <v>6608823.340824143</v>
      </c>
      <c r="O16" s="807">
        <f>N5/M5-1</f>
        <v>0.14369526427223489</v>
      </c>
      <c r="P16" s="777">
        <f>P11/O11-1</f>
        <v>6.2382706904295038E-2</v>
      </c>
      <c r="Q16" s="777">
        <f>Q11/P11-1</f>
        <v>5.708486854125816E-2</v>
      </c>
      <c r="R16" s="777">
        <f>R11/Q11-1</f>
        <v>5.1787030178221283E-2</v>
      </c>
      <c r="S16" s="777">
        <f>S11/R11-1</f>
        <v>4.6489191815184405E-2</v>
      </c>
      <c r="AA16" s="777">
        <v>1.6E-2</v>
      </c>
    </row>
    <row r="17" spans="4:29" x14ac:dyDescent="0.2">
      <c r="D17" s="995" t="s">
        <v>556</v>
      </c>
      <c r="E17" s="996">
        <f>H17</f>
        <v>-4135760.72968625</v>
      </c>
      <c r="G17" s="804" t="s">
        <v>557</v>
      </c>
      <c r="H17" s="817">
        <f>-Sch_Deb!P80</f>
        <v>-4135760.72968625</v>
      </c>
      <c r="I17" s="792"/>
      <c r="K17" s="777">
        <f>K5/J5-1</f>
        <v>0.65670380584014332</v>
      </c>
      <c r="L17" s="777">
        <f>L5/K5-1</f>
        <v>4.1096847190218666E-2</v>
      </c>
      <c r="M17" s="777">
        <f>M5/L5-1</f>
        <v>-4.1715399699365996E-2</v>
      </c>
      <c r="N17" s="777">
        <f>N5/M5-1</f>
        <v>0.14369526427223489</v>
      </c>
      <c r="AA17" s="777">
        <v>1.7999999999999999E-2</v>
      </c>
    </row>
    <row r="18" spans="4:29" ht="18" x14ac:dyDescent="0.2">
      <c r="D18" s="997" t="s">
        <v>558</v>
      </c>
      <c r="E18" s="998">
        <v>-175714</v>
      </c>
      <c r="G18" s="804" t="s">
        <v>559</v>
      </c>
      <c r="H18" s="804">
        <v>-56.862000000000002</v>
      </c>
      <c r="I18" s="966">
        <v>589994732307</v>
      </c>
      <c r="J18" s="810">
        <f>J11/I11-1</f>
        <v>-0.84536497331335969</v>
      </c>
      <c r="K18" s="810">
        <f>K11/J11-1</f>
        <v>-4.8196424364567063</v>
      </c>
      <c r="L18" s="810">
        <f>L11/K11-1</f>
        <v>-6.5556376121212012E-2</v>
      </c>
      <c r="M18" s="810">
        <f>M11/L11-1</f>
        <v>1.4666017486568927E-2</v>
      </c>
      <c r="N18" s="810">
        <f>N11/M11-1</f>
        <v>-9.5491304752376105E-2</v>
      </c>
      <c r="AA18" s="777">
        <v>0.02</v>
      </c>
    </row>
    <row r="19" spans="4:29" x14ac:dyDescent="0.2">
      <c r="D19" s="995" t="s">
        <v>560</v>
      </c>
      <c r="E19" s="998">
        <v>56862</v>
      </c>
      <c r="G19" s="804" t="s">
        <v>561</v>
      </c>
      <c r="H19" s="804" t="s">
        <v>562</v>
      </c>
      <c r="I19" s="815"/>
      <c r="M19" s="777" t="s">
        <v>563</v>
      </c>
      <c r="N19" s="517">
        <f>'Pro_Forma IS'!M13</f>
        <v>-1424148.6632293463</v>
      </c>
      <c r="AA19" s="876">
        <v>2.1999999999999999E-2</v>
      </c>
    </row>
    <row r="20" spans="4:29" x14ac:dyDescent="0.2">
      <c r="D20" s="995" t="s">
        <v>564</v>
      </c>
      <c r="E20" s="998">
        <v>-13377</v>
      </c>
      <c r="G20" s="804" t="s">
        <v>565</v>
      </c>
      <c r="H20" s="804">
        <v>13.377000000000001</v>
      </c>
      <c r="I20" s="801"/>
      <c r="J20" s="806"/>
      <c r="M20" s="777" t="s">
        <v>566</v>
      </c>
      <c r="N20" s="803">
        <f>-N19/SUM('Pro_Forma BS'!M63:M65)</f>
        <v>0.11751977214951825</v>
      </c>
      <c r="AA20" s="876">
        <v>2.4E-2</v>
      </c>
      <c r="AC20" s="876"/>
    </row>
    <row r="21" spans="4:29" x14ac:dyDescent="0.2">
      <c r="D21" s="995" t="s">
        <v>567</v>
      </c>
      <c r="E21" s="998">
        <v>0</v>
      </c>
      <c r="G21" s="804" t="s">
        <v>568</v>
      </c>
      <c r="H21" s="804">
        <v>0</v>
      </c>
      <c r="J21" s="806"/>
      <c r="M21" s="1165" t="s">
        <v>23</v>
      </c>
      <c r="N21" s="1165"/>
      <c r="O21" s="778">
        <f t="shared" ref="O21:X21" si="39">($N$19+$N$20*N10)</f>
        <v>-1644214.18159204</v>
      </c>
      <c r="P21" s="778" t="e">
        <f t="shared" ca="1" si="39"/>
        <v>#REF!</v>
      </c>
      <c r="Q21" s="778" t="e">
        <f t="shared" ca="1" si="39"/>
        <v>#REF!</v>
      </c>
      <c r="R21" s="778" t="e">
        <f t="shared" ca="1" si="39"/>
        <v>#REF!</v>
      </c>
      <c r="S21" s="778" t="e">
        <f t="shared" ca="1" si="39"/>
        <v>#REF!</v>
      </c>
      <c r="T21" s="778" t="e">
        <f t="shared" ca="1" si="39"/>
        <v>#REF!</v>
      </c>
      <c r="U21" s="778" t="e">
        <f t="shared" ca="1" si="39"/>
        <v>#REF!</v>
      </c>
      <c r="V21" s="778" t="e">
        <f t="shared" ca="1" si="39"/>
        <v>#REF!</v>
      </c>
      <c r="W21" s="778" t="e">
        <f t="shared" ca="1" si="39"/>
        <v>#REF!</v>
      </c>
      <c r="X21" s="778" t="e">
        <f t="shared" ca="1" si="39"/>
        <v>#REF!</v>
      </c>
      <c r="Y21" s="778"/>
      <c r="AA21" s="876">
        <v>2.5999999999999999E-2</v>
      </c>
    </row>
    <row r="22" spans="4:29" x14ac:dyDescent="0.2">
      <c r="D22" s="995" t="s">
        <v>1305</v>
      </c>
      <c r="E22" s="998">
        <v>13567</v>
      </c>
      <c r="I22" s="801"/>
      <c r="J22" s="967">
        <f t="shared" ref="J22:M22" si="40">J9/I9-1</f>
        <v>-5.2285111162475211</v>
      </c>
      <c r="K22" s="967">
        <f t="shared" si="40"/>
        <v>0.33488256566638963</v>
      </c>
      <c r="L22" s="967">
        <f t="shared" si="40"/>
        <v>9.6988356115852659E-2</v>
      </c>
      <c r="M22" s="967">
        <f t="shared" si="40"/>
        <v>9.5492807856718542E-3</v>
      </c>
      <c r="N22" s="967">
        <f>N9/M9-1</f>
        <v>7.2978383630368793E-2</v>
      </c>
    </row>
    <row r="23" spans="4:29" x14ac:dyDescent="0.2">
      <c r="D23" s="995" t="s">
        <v>569</v>
      </c>
      <c r="E23" s="999">
        <f>E16+SUM(E17:E22)</f>
        <v>5888150.1795491325</v>
      </c>
      <c r="J23" s="916"/>
      <c r="K23" s="916"/>
      <c r="L23" s="916"/>
      <c r="M23" s="916"/>
      <c r="N23" s="916"/>
    </row>
    <row r="24" spans="4:29" x14ac:dyDescent="0.2">
      <c r="D24" s="1000" t="s">
        <v>570</v>
      </c>
      <c r="E24" s="1001">
        <f>E23*10^3/I18</f>
        <v>9.9800046629658235E-3</v>
      </c>
      <c r="Q24" s="777" t="s">
        <v>1290</v>
      </c>
      <c r="R24" s="777">
        <f>10.64</f>
        <v>10.64</v>
      </c>
      <c r="Z24" s="777">
        <f>(I11/(1+AB7)^1+J11/(1+AB7)^2+K11/(1+AB7)^3+L11/(1+AB7)^4+M11/(1+AB7)^5+N11/(1+AB7)^6+O11/(1+AB7)^7+P11/(1+AB7)^8+Q11/(1+AB7)^9+R11/(1+AB7)^10+S11/(1+AB7)^11+T11/(1+AB7)^12+U11/(1+AB7)^13+V11/(1+AB7)^14+W11/(1+AB7)^15+X11/(1+AB7)^16+((X11*(1+AB6))/(AB7-AB6)/(1+AB7)^16))*(1+AB7)^(10.5/12)</f>
        <v>10142572.909235382</v>
      </c>
    </row>
    <row r="25" spans="4:29" x14ac:dyDescent="0.2">
      <c r="D25" s="995"/>
      <c r="E25" s="998"/>
      <c r="I25" s="777">
        <v>-1399</v>
      </c>
      <c r="J25" s="777">
        <v>-205</v>
      </c>
      <c r="K25" s="777">
        <v>664</v>
      </c>
      <c r="L25" s="777">
        <v>917</v>
      </c>
      <c r="M25" s="777">
        <v>1080</v>
      </c>
      <c r="N25" s="777">
        <v>785</v>
      </c>
      <c r="O25" s="777">
        <f>M25/(0.1-0.02)</f>
        <v>13500</v>
      </c>
      <c r="R25" s="777">
        <f>R24*N5</f>
        <v>32559370.832573034</v>
      </c>
      <c r="Z25" s="777" t="e">
        <f>I11/(1+E35)^I35+J11/(1+E35)^J35+K11/(1+E35)^K35+L11/(1+E35)^L35+M11/(1+E35)^M35+N11/(1+E35)^N35+O11/(1+E35)^O35+P11/(1+E35)^P35+Q11/(1+E35)^Q35+R11/(1+E35)^R35+S11/(1+E35)^S35+T11/(1+E35)^T35+U11/(1+E35)^U35+V11/(1+E35)^V35+W11/(1+E35)^W35+X11/(1+E35)^X35+(X11*(1+E34)/((E35-E34)*(1+E35)^X35))</f>
        <v>#DIV/0!</v>
      </c>
    </row>
    <row r="26" spans="4:29" x14ac:dyDescent="0.2">
      <c r="D26" s="995" t="s">
        <v>571</v>
      </c>
      <c r="E26" s="1002">
        <f>3473888983824</f>
        <v>3473888983824</v>
      </c>
      <c r="H26" s="777">
        <f>SUM(I26:O26)</f>
        <v>8418.0618166690238</v>
      </c>
      <c r="I26" s="777">
        <f t="shared" ref="I26:N26" si="41">I25/(1.1^(I3-2021))</f>
        <v>-1271.8181818181818</v>
      </c>
      <c r="J26" s="777">
        <f t="shared" si="41"/>
        <v>-169.42148760330576</v>
      </c>
      <c r="K26" s="777">
        <f t="shared" si="41"/>
        <v>498.87302779864746</v>
      </c>
      <c r="L26" s="777">
        <f t="shared" si="41"/>
        <v>626.3233385697697</v>
      </c>
      <c r="M26" s="777">
        <f t="shared" si="41"/>
        <v>670.5950289038874</v>
      </c>
      <c r="N26" s="777">
        <f t="shared" si="41"/>
        <v>443.11203509221508</v>
      </c>
      <c r="O26" s="777">
        <f>O25/(1.1^(N3-2021))</f>
        <v>7620.398055725992</v>
      </c>
      <c r="R26" s="777">
        <f>R25/N13</f>
        <v>18815944.969531879</v>
      </c>
    </row>
    <row r="27" spans="4:29" x14ac:dyDescent="0.2">
      <c r="D27" s="995" t="s">
        <v>572</v>
      </c>
      <c r="E27" s="1003">
        <v>1.0531188999999999E-3</v>
      </c>
      <c r="R27" s="801">
        <f>SUM(I14:N14)+R26</f>
        <v>19531180.084950473</v>
      </c>
      <c r="S27" s="777">
        <f>1.0982^(11/12)*R27</f>
        <v>21282360.913167894</v>
      </c>
    </row>
    <row r="28" spans="4:29" ht="17" thickBot="1" x14ac:dyDescent="0.25">
      <c r="D28" s="1004" t="s">
        <v>573</v>
      </c>
      <c r="E28" s="1005">
        <f>E27*E26</f>
        <v>3658418145.3668485</v>
      </c>
    </row>
    <row r="29" spans="4:29" x14ac:dyDescent="0.2">
      <c r="E29" s="777">
        <f>E28/I18</f>
        <v>6.2007640832006852E-3</v>
      </c>
      <c r="J29" s="777">
        <f>J10/I10-1</f>
        <v>0.58790031854935165</v>
      </c>
      <c r="K29" s="777">
        <f t="shared" ref="K29:N29" si="42">K10/J10-1</f>
        <v>-0.33122207100783996</v>
      </c>
      <c r="L29" s="777">
        <f t="shared" si="42"/>
        <v>0.21695692641823272</v>
      </c>
      <c r="M29" s="777">
        <f t="shared" si="42"/>
        <v>6.6494974386923644E-3</v>
      </c>
      <c r="N29" s="777">
        <f t="shared" si="42"/>
        <v>0.16921472167627649</v>
      </c>
    </row>
    <row r="30" spans="4:29" x14ac:dyDescent="0.2">
      <c r="E30" s="809">
        <f>E24/E29</f>
        <v>1.6094798203989056</v>
      </c>
    </row>
    <row r="32" spans="4:29" ht="19" x14ac:dyDescent="0.2">
      <c r="G32" s="965">
        <v>4791086312</v>
      </c>
    </row>
    <row r="34" spans="5:5" x14ac:dyDescent="0.2">
      <c r="E34" s="811"/>
    </row>
    <row r="36" spans="5:5" x14ac:dyDescent="0.2">
      <c r="E36" s="916"/>
    </row>
    <row r="37" spans="5:5" x14ac:dyDescent="0.2">
      <c r="E37" s="916"/>
    </row>
  </sheetData>
  <mergeCells count="2">
    <mergeCell ref="A1:F2"/>
    <mergeCell ref="M21:N21"/>
  </mergeCells>
  <phoneticPr fontId="30"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FFE5-7130-C646-8951-4B78189FDC69}">
  <sheetPr>
    <tabColor theme="4" tint="0.79998168889431442"/>
  </sheetPr>
  <dimension ref="A1:G199"/>
  <sheetViews>
    <sheetView zoomScale="94" workbookViewId="0"/>
  </sheetViews>
  <sheetFormatPr baseColWidth="10" defaultColWidth="10.83203125" defaultRowHeight="13" x14ac:dyDescent="0.15"/>
  <cols>
    <col min="1" max="3" width="20.6640625" style="7" customWidth="1"/>
    <col min="4" max="4" width="28" style="7" bestFit="1" customWidth="1"/>
    <col min="5" max="5" width="20.6640625" style="7" customWidth="1"/>
    <col min="6" max="7" width="20.6640625" style="7" hidden="1" customWidth="1"/>
    <col min="8" max="256" width="20.6640625" style="7" customWidth="1"/>
    <col min="257" max="16384" width="10.83203125" style="7"/>
  </cols>
  <sheetData>
    <row r="1" spans="1:7" ht="14" thickBot="1" x14ac:dyDescent="0.2">
      <c r="A1" s="7" t="s">
        <v>785</v>
      </c>
    </row>
    <row r="2" spans="1:7" x14ac:dyDescent="0.15">
      <c r="A2" s="7" t="s">
        <v>786</v>
      </c>
      <c r="D2" s="1166" t="s">
        <v>787</v>
      </c>
      <c r="E2" s="1169">
        <f>AVERAGE(C14:C118)</f>
        <v>6.171421448084826E-3</v>
      </c>
    </row>
    <row r="3" spans="1:7" ht="16" customHeight="1" x14ac:dyDescent="0.15">
      <c r="A3" s="7" t="s">
        <v>788</v>
      </c>
      <c r="D3" s="1167"/>
      <c r="E3" s="1170"/>
      <c r="F3" s="8" t="e" cm="1">
        <f t="array" ref="F3">#REF!</f>
        <v>#REF!</v>
      </c>
      <c r="G3" s="8">
        <f>E2</f>
        <v>6.171421448084826E-3</v>
      </c>
    </row>
    <row r="4" spans="1:7" ht="17" customHeight="1" thickBot="1" x14ac:dyDescent="0.2">
      <c r="A4" s="7" t="s">
        <v>789</v>
      </c>
      <c r="D4" s="1168"/>
      <c r="E4" s="1171"/>
    </row>
    <row r="5" spans="1:7" x14ac:dyDescent="0.15">
      <c r="A5" s="7" t="s">
        <v>790</v>
      </c>
      <c r="D5" s="1172" t="s">
        <v>791</v>
      </c>
      <c r="E5" s="1169">
        <f>AVERAGE(C81:C108)</f>
        <v>1.181303458283957E-4</v>
      </c>
    </row>
    <row r="6" spans="1:7" x14ac:dyDescent="0.15">
      <c r="A6" s="7" t="s">
        <v>792</v>
      </c>
      <c r="D6" s="1173"/>
      <c r="E6" s="1170"/>
    </row>
    <row r="7" spans="1:7" ht="14" thickBot="1" x14ac:dyDescent="0.2">
      <c r="D7" s="1174"/>
      <c r="E7" s="1171"/>
    </row>
    <row r="8" spans="1:7" x14ac:dyDescent="0.15">
      <c r="D8" s="907"/>
      <c r="E8" s="907"/>
    </row>
    <row r="9" spans="1:7" x14ac:dyDescent="0.15">
      <c r="A9" s="7" t="s">
        <v>793</v>
      </c>
      <c r="B9" s="7" t="s">
        <v>794</v>
      </c>
    </row>
    <row r="11" spans="1:7" x14ac:dyDescent="0.15">
      <c r="A11" s="7" t="s">
        <v>795</v>
      </c>
    </row>
    <row r="12" spans="1:7" x14ac:dyDescent="0.15">
      <c r="A12" s="909" t="s">
        <v>796</v>
      </c>
      <c r="B12" s="909" t="s">
        <v>793</v>
      </c>
      <c r="C12" s="909" t="s">
        <v>797</v>
      </c>
    </row>
    <row r="13" spans="1:7" x14ac:dyDescent="0.15">
      <c r="A13" s="42">
        <v>35065</v>
      </c>
      <c r="B13" s="9">
        <v>170920</v>
      </c>
    </row>
    <row r="14" spans="1:7" x14ac:dyDescent="0.15">
      <c r="A14" s="42">
        <v>35156</v>
      </c>
      <c r="B14" s="9">
        <v>176708.7</v>
      </c>
      <c r="C14" s="908">
        <f>B14/B13-1</f>
        <v>3.3867891411186513E-2</v>
      </c>
    </row>
    <row r="15" spans="1:7" x14ac:dyDescent="0.15">
      <c r="A15" s="42">
        <v>35247</v>
      </c>
      <c r="B15" s="9">
        <v>189844.3</v>
      </c>
      <c r="C15" s="908">
        <f t="shared" ref="C15:C78" si="0">B15/B14-1</f>
        <v>7.4334766765869364E-2</v>
      </c>
    </row>
    <row r="16" spans="1:7" x14ac:dyDescent="0.15">
      <c r="A16" s="42">
        <v>35339</v>
      </c>
      <c r="B16" s="9">
        <v>184112.9</v>
      </c>
      <c r="C16" s="908">
        <f t="shared" si="0"/>
        <v>-3.0190003070937554E-2</v>
      </c>
    </row>
    <row r="17" spans="1:3" x14ac:dyDescent="0.15">
      <c r="A17" s="42">
        <v>35431</v>
      </c>
      <c r="B17" s="9">
        <v>176732.3</v>
      </c>
      <c r="C17" s="908">
        <f t="shared" si="0"/>
        <v>-4.0087359440864834E-2</v>
      </c>
    </row>
    <row r="18" spans="1:3" x14ac:dyDescent="0.15">
      <c r="A18" s="42">
        <v>35521</v>
      </c>
      <c r="B18" s="9">
        <v>185109.5</v>
      </c>
      <c r="C18" s="908">
        <f t="shared" si="0"/>
        <v>4.7400503473332245E-2</v>
      </c>
    </row>
    <row r="19" spans="1:3" x14ac:dyDescent="0.15">
      <c r="A19" s="42">
        <v>35612</v>
      </c>
      <c r="B19" s="9">
        <v>193244.9</v>
      </c>
      <c r="C19" s="908">
        <f t="shared" si="0"/>
        <v>4.3949122006163854E-2</v>
      </c>
    </row>
    <row r="20" spans="1:3" x14ac:dyDescent="0.15">
      <c r="A20" s="42">
        <v>35704</v>
      </c>
      <c r="B20" s="9">
        <v>190996</v>
      </c>
      <c r="C20" s="908">
        <f t="shared" si="0"/>
        <v>-1.1637564561859048E-2</v>
      </c>
    </row>
    <row r="21" spans="1:3" x14ac:dyDescent="0.15">
      <c r="A21" s="42">
        <v>35796</v>
      </c>
      <c r="B21" s="9">
        <v>178513</v>
      </c>
      <c r="C21" s="908">
        <f t="shared" si="0"/>
        <v>-6.5357389683553535E-2</v>
      </c>
    </row>
    <row r="22" spans="1:3" x14ac:dyDescent="0.15">
      <c r="A22" s="42">
        <v>35886</v>
      </c>
      <c r="B22" s="9">
        <v>187904</v>
      </c>
      <c r="C22" s="908">
        <f t="shared" si="0"/>
        <v>5.2606812949197002E-2</v>
      </c>
    </row>
    <row r="23" spans="1:3" x14ac:dyDescent="0.15">
      <c r="A23" s="42">
        <v>35977</v>
      </c>
      <c r="B23" s="9">
        <v>193932.1</v>
      </c>
      <c r="C23" s="908">
        <f t="shared" si="0"/>
        <v>3.2080743358310571E-2</v>
      </c>
    </row>
    <row r="24" spans="1:3" x14ac:dyDescent="0.15">
      <c r="A24" s="42">
        <v>36069</v>
      </c>
      <c r="B24" s="9">
        <v>188256.1</v>
      </c>
      <c r="C24" s="908">
        <f t="shared" si="0"/>
        <v>-2.926797575027551E-2</v>
      </c>
    </row>
    <row r="25" spans="1:3" x14ac:dyDescent="0.15">
      <c r="A25" s="42">
        <v>36161</v>
      </c>
      <c r="B25" s="9">
        <v>179883.3</v>
      </c>
      <c r="C25" s="908">
        <f t="shared" si="0"/>
        <v>-4.4475584058099704E-2</v>
      </c>
    </row>
    <row r="26" spans="1:3" x14ac:dyDescent="0.15">
      <c r="A26" s="42">
        <v>36251</v>
      </c>
      <c r="B26" s="9">
        <v>187151</v>
      </c>
      <c r="C26" s="908">
        <f t="shared" si="0"/>
        <v>4.0402305272362771E-2</v>
      </c>
    </row>
    <row r="27" spans="1:3" x14ac:dyDescent="0.15">
      <c r="A27" s="42">
        <v>36342</v>
      </c>
      <c r="B27" s="9">
        <v>192737</v>
      </c>
      <c r="C27" s="908">
        <f t="shared" si="0"/>
        <v>2.9847556251369145E-2</v>
      </c>
    </row>
    <row r="28" spans="1:3" x14ac:dyDescent="0.15">
      <c r="A28" s="42">
        <v>36434</v>
      </c>
      <c r="B28" s="9">
        <v>192336.8</v>
      </c>
      <c r="C28" s="908">
        <f t="shared" si="0"/>
        <v>-2.076404634294482E-3</v>
      </c>
    </row>
    <row r="29" spans="1:3" x14ac:dyDescent="0.15">
      <c r="A29" s="42">
        <v>36526</v>
      </c>
      <c r="B29" s="9">
        <v>187799.5</v>
      </c>
      <c r="C29" s="908">
        <f t="shared" si="0"/>
        <v>-2.3590389358666641E-2</v>
      </c>
    </row>
    <row r="30" spans="1:3" x14ac:dyDescent="0.15">
      <c r="A30" s="42">
        <v>36617</v>
      </c>
      <c r="B30" s="9">
        <v>194596.6</v>
      </c>
      <c r="C30" s="908">
        <f t="shared" si="0"/>
        <v>3.6193387096344898E-2</v>
      </c>
    </row>
    <row r="31" spans="1:3" x14ac:dyDescent="0.15">
      <c r="A31" s="42">
        <v>36708</v>
      </c>
      <c r="B31" s="9">
        <v>201534.7</v>
      </c>
      <c r="C31" s="908">
        <f t="shared" si="0"/>
        <v>3.5653757568220534E-2</v>
      </c>
    </row>
    <row r="32" spans="1:3" x14ac:dyDescent="0.15">
      <c r="A32" s="42">
        <v>36800</v>
      </c>
      <c r="B32" s="9">
        <v>201179.5</v>
      </c>
      <c r="C32" s="908">
        <f t="shared" si="0"/>
        <v>-1.7624756431523503E-3</v>
      </c>
    </row>
    <row r="33" spans="1:5" x14ac:dyDescent="0.15">
      <c r="A33" s="42">
        <v>36892</v>
      </c>
      <c r="B33" s="9">
        <v>194325.7</v>
      </c>
      <c r="C33" s="908">
        <f t="shared" si="0"/>
        <v>-3.4068083477690303E-2</v>
      </c>
    </row>
    <row r="34" spans="1:5" x14ac:dyDescent="0.15">
      <c r="A34" s="42">
        <v>36982</v>
      </c>
      <c r="B34" s="9">
        <v>199123</v>
      </c>
      <c r="C34" s="908">
        <f t="shared" si="0"/>
        <v>2.4686904511343588E-2</v>
      </c>
    </row>
    <row r="35" spans="1:5" x14ac:dyDescent="0.15">
      <c r="A35" s="42">
        <v>37073</v>
      </c>
      <c r="B35" s="9">
        <v>202464.1</v>
      </c>
      <c r="C35" s="908">
        <f t="shared" si="0"/>
        <v>1.6779076249353375E-2</v>
      </c>
    </row>
    <row r="36" spans="1:5" x14ac:dyDescent="0.15">
      <c r="A36" s="42">
        <v>37165</v>
      </c>
      <c r="B36" s="9">
        <v>200109.7</v>
      </c>
      <c r="C36" s="908">
        <f t="shared" si="0"/>
        <v>-1.1628728253552101E-2</v>
      </c>
    </row>
    <row r="37" spans="1:5" x14ac:dyDescent="0.15">
      <c r="A37" s="42">
        <v>37257</v>
      </c>
      <c r="B37" s="9">
        <v>195252.5</v>
      </c>
      <c r="C37" s="908">
        <f t="shared" si="0"/>
        <v>-2.4272686431492385E-2</v>
      </c>
    </row>
    <row r="38" spans="1:5" x14ac:dyDescent="0.15">
      <c r="A38" s="42">
        <v>37347</v>
      </c>
      <c r="B38" s="9">
        <v>203699.3</v>
      </c>
      <c r="C38" s="908">
        <f t="shared" si="0"/>
        <v>4.3260905750246437E-2</v>
      </c>
    </row>
    <row r="39" spans="1:5" x14ac:dyDescent="0.15">
      <c r="A39" s="42">
        <v>37438</v>
      </c>
      <c r="B39" s="9">
        <v>210916.4</v>
      </c>
      <c r="C39" s="908">
        <f t="shared" si="0"/>
        <v>3.5430165935768976E-2</v>
      </c>
    </row>
    <row r="40" spans="1:5" x14ac:dyDescent="0.15">
      <c r="A40" s="42">
        <v>37530</v>
      </c>
      <c r="B40" s="9">
        <v>210460.6</v>
      </c>
      <c r="C40" s="908">
        <f t="shared" si="0"/>
        <v>-2.1610457982403908E-3</v>
      </c>
      <c r="E40" s="9"/>
    </row>
    <row r="41" spans="1:5" x14ac:dyDescent="0.15">
      <c r="A41" s="42">
        <v>37622</v>
      </c>
      <c r="B41" s="9">
        <v>200459.9</v>
      </c>
      <c r="C41" s="908">
        <f t="shared" si="0"/>
        <v>-4.7518157792955096E-2</v>
      </c>
    </row>
    <row r="42" spans="1:5" x14ac:dyDescent="0.15">
      <c r="A42" s="42">
        <v>37712</v>
      </c>
      <c r="B42" s="9">
        <v>205290.7</v>
      </c>
      <c r="C42" s="908">
        <f t="shared" si="0"/>
        <v>2.4098585303095721E-2</v>
      </c>
    </row>
    <row r="43" spans="1:5" x14ac:dyDescent="0.15">
      <c r="A43" s="42">
        <v>37803</v>
      </c>
      <c r="B43" s="9">
        <v>212237.1</v>
      </c>
      <c r="C43" s="908">
        <f t="shared" si="0"/>
        <v>3.3836895680125822E-2</v>
      </c>
    </row>
    <row r="44" spans="1:5" x14ac:dyDescent="0.15">
      <c r="A44" s="42">
        <v>37895</v>
      </c>
      <c r="B44" s="9">
        <v>211699.6</v>
      </c>
      <c r="C44" s="908">
        <f t="shared" si="0"/>
        <v>-2.5325449697531921E-3</v>
      </c>
    </row>
    <row r="45" spans="1:5" x14ac:dyDescent="0.15">
      <c r="A45" s="42">
        <v>37987</v>
      </c>
      <c r="B45" s="9">
        <v>208233.9</v>
      </c>
      <c r="C45" s="908">
        <f t="shared" si="0"/>
        <v>-1.6370838678958388E-2</v>
      </c>
    </row>
    <row r="46" spans="1:5" x14ac:dyDescent="0.15">
      <c r="A46" s="42">
        <v>38078</v>
      </c>
      <c r="B46" s="9">
        <v>218240.9</v>
      </c>
      <c r="C46" s="908">
        <f t="shared" si="0"/>
        <v>4.8056536423704221E-2</v>
      </c>
    </row>
    <row r="47" spans="1:5" x14ac:dyDescent="0.15">
      <c r="A47" s="42">
        <v>38169</v>
      </c>
      <c r="B47" s="9">
        <v>226157.4</v>
      </c>
      <c r="C47" s="908">
        <f t="shared" si="0"/>
        <v>3.6274135599697388E-2</v>
      </c>
    </row>
    <row r="48" spans="1:5" x14ac:dyDescent="0.15">
      <c r="A48" s="42">
        <v>38261</v>
      </c>
      <c r="B48" s="9">
        <v>224844.79999999999</v>
      </c>
      <c r="C48" s="908">
        <f t="shared" si="0"/>
        <v>-5.8039224009472923E-3</v>
      </c>
    </row>
    <row r="49" spans="1:3" x14ac:dyDescent="0.15">
      <c r="A49" s="42">
        <v>38353</v>
      </c>
      <c r="B49" s="9">
        <v>216947.1</v>
      </c>
      <c r="C49" s="908">
        <f t="shared" si="0"/>
        <v>-3.5125117414323004E-2</v>
      </c>
    </row>
    <row r="50" spans="1:3" x14ac:dyDescent="0.15">
      <c r="A50" s="42">
        <v>38443</v>
      </c>
      <c r="B50" s="9">
        <v>228007.2</v>
      </c>
      <c r="C50" s="908">
        <f t="shared" si="0"/>
        <v>5.0980630762061274E-2</v>
      </c>
    </row>
    <row r="51" spans="1:3" x14ac:dyDescent="0.15">
      <c r="A51" s="42">
        <v>38534</v>
      </c>
      <c r="B51" s="9">
        <v>230940.5</v>
      </c>
      <c r="C51" s="908">
        <f t="shared" si="0"/>
        <v>1.2864944615784024E-2</v>
      </c>
    </row>
    <row r="52" spans="1:3" x14ac:dyDescent="0.15">
      <c r="A52" s="42">
        <v>38626</v>
      </c>
      <c r="B52" s="9">
        <v>229680.2</v>
      </c>
      <c r="C52" s="908">
        <f t="shared" si="0"/>
        <v>-5.457249811098519E-3</v>
      </c>
    </row>
    <row r="53" spans="1:3" x14ac:dyDescent="0.15">
      <c r="A53" s="42">
        <v>38718</v>
      </c>
      <c r="B53" s="9">
        <v>226230.5</v>
      </c>
      <c r="C53" s="908">
        <f t="shared" si="0"/>
        <v>-1.5019579397788752E-2</v>
      </c>
    </row>
    <row r="54" spans="1:3" x14ac:dyDescent="0.15">
      <c r="A54" s="42">
        <v>38808</v>
      </c>
      <c r="B54" s="9">
        <v>233213.3</v>
      </c>
      <c r="C54" s="908">
        <f t="shared" si="0"/>
        <v>3.0865864682259936E-2</v>
      </c>
    </row>
    <row r="55" spans="1:3" x14ac:dyDescent="0.15">
      <c r="A55" s="42">
        <v>38899</v>
      </c>
      <c r="B55" s="9">
        <v>241316.2</v>
      </c>
      <c r="C55" s="908">
        <f t="shared" si="0"/>
        <v>3.474458789442969E-2</v>
      </c>
    </row>
    <row r="56" spans="1:3" x14ac:dyDescent="0.15">
      <c r="A56" s="42">
        <v>38991</v>
      </c>
      <c r="B56" s="9">
        <v>240693.9</v>
      </c>
      <c r="C56" s="908">
        <f t="shared" si="0"/>
        <v>-2.5787742389447033E-3</v>
      </c>
    </row>
    <row r="57" spans="1:3" x14ac:dyDescent="0.15">
      <c r="A57" s="42">
        <v>39083</v>
      </c>
      <c r="B57" s="9">
        <v>237982.4</v>
      </c>
      <c r="C57" s="908">
        <f t="shared" si="0"/>
        <v>-1.1265345735808063E-2</v>
      </c>
    </row>
    <row r="58" spans="1:3" x14ac:dyDescent="0.15">
      <c r="A58" s="42">
        <v>39173</v>
      </c>
      <c r="B58" s="9">
        <v>248459</v>
      </c>
      <c r="C58" s="908">
        <f t="shared" si="0"/>
        <v>4.4022583182621977E-2</v>
      </c>
    </row>
    <row r="59" spans="1:3" x14ac:dyDescent="0.15">
      <c r="A59" s="42">
        <v>39264</v>
      </c>
      <c r="B59" s="9">
        <v>255482.1</v>
      </c>
      <c r="C59" s="908">
        <f t="shared" si="0"/>
        <v>2.8266635541477791E-2</v>
      </c>
    </row>
    <row r="60" spans="1:3" x14ac:dyDescent="0.15">
      <c r="A60" s="42">
        <v>39356</v>
      </c>
      <c r="B60" s="9">
        <v>256675.3</v>
      </c>
      <c r="C60" s="908">
        <f t="shared" si="0"/>
        <v>4.6703859096193234E-3</v>
      </c>
    </row>
    <row r="61" spans="1:3" x14ac:dyDescent="0.15">
      <c r="A61" s="42">
        <v>39448</v>
      </c>
      <c r="B61" s="9">
        <v>252636</v>
      </c>
      <c r="C61" s="908">
        <f t="shared" si="0"/>
        <v>-1.5737003131972571E-2</v>
      </c>
    </row>
    <row r="62" spans="1:3" x14ac:dyDescent="0.15">
      <c r="A62" s="42">
        <v>39539</v>
      </c>
      <c r="B62" s="9">
        <v>264201.7</v>
      </c>
      <c r="C62" s="908">
        <f t="shared" si="0"/>
        <v>4.5780094681676431E-2</v>
      </c>
    </row>
    <row r="63" spans="1:3" x14ac:dyDescent="0.15">
      <c r="A63" s="42">
        <v>39630</v>
      </c>
      <c r="B63" s="9">
        <v>273316.8</v>
      </c>
      <c r="C63" s="908">
        <f t="shared" si="0"/>
        <v>3.4500535007912392E-2</v>
      </c>
    </row>
    <row r="64" spans="1:3" x14ac:dyDescent="0.15">
      <c r="A64" s="42">
        <v>39722</v>
      </c>
      <c r="B64" s="9">
        <v>259314.9</v>
      </c>
      <c r="C64" s="908">
        <f t="shared" si="0"/>
        <v>-5.1229562178395138E-2</v>
      </c>
    </row>
    <row r="65" spans="1:3" x14ac:dyDescent="0.15">
      <c r="A65" s="42">
        <v>39814</v>
      </c>
      <c r="B65" s="9">
        <v>246506.9</v>
      </c>
      <c r="C65" s="908">
        <f t="shared" si="0"/>
        <v>-4.9391685552970577E-2</v>
      </c>
    </row>
    <row r="66" spans="1:3" x14ac:dyDescent="0.15">
      <c r="A66" s="42">
        <v>39904</v>
      </c>
      <c r="B66" s="9">
        <v>258381.4</v>
      </c>
      <c r="C66" s="908">
        <f t="shared" si="0"/>
        <v>4.8171065394112755E-2</v>
      </c>
    </row>
    <row r="67" spans="1:3" x14ac:dyDescent="0.15">
      <c r="A67" s="42">
        <v>39995</v>
      </c>
      <c r="B67" s="9">
        <v>270139.09999999998</v>
      </c>
      <c r="C67" s="908">
        <f t="shared" si="0"/>
        <v>4.5505210514379169E-2</v>
      </c>
    </row>
    <row r="68" spans="1:3" x14ac:dyDescent="0.15">
      <c r="A68" s="42">
        <v>40087</v>
      </c>
      <c r="B68" s="9">
        <v>273121.7</v>
      </c>
      <c r="C68" s="908">
        <f>B68/B67-1</f>
        <v>1.1040978518104261E-2</v>
      </c>
    </row>
    <row r="69" spans="1:3" x14ac:dyDescent="0.15">
      <c r="A69" s="42">
        <v>40179</v>
      </c>
      <c r="B69" s="9">
        <v>269207.90000000002</v>
      </c>
      <c r="C69" s="908">
        <f t="shared" si="0"/>
        <v>-1.4329875656163504E-2</v>
      </c>
    </row>
    <row r="70" spans="1:3" x14ac:dyDescent="0.15">
      <c r="A70" s="42">
        <v>40269</v>
      </c>
      <c r="B70" s="9">
        <v>280389.59999999998</v>
      </c>
      <c r="C70" s="908">
        <f t="shared" si="0"/>
        <v>4.1535556720289302E-2</v>
      </c>
    </row>
    <row r="71" spans="1:3" x14ac:dyDescent="0.15">
      <c r="A71" s="42">
        <v>40360</v>
      </c>
      <c r="B71" s="9">
        <v>288798</v>
      </c>
      <c r="C71" s="908">
        <f t="shared" si="0"/>
        <v>2.9988273459500725E-2</v>
      </c>
    </row>
    <row r="72" spans="1:3" x14ac:dyDescent="0.15">
      <c r="A72" s="42">
        <v>40452</v>
      </c>
      <c r="B72" s="9">
        <v>288660.5</v>
      </c>
      <c r="C72" s="908">
        <f t="shared" si="0"/>
        <v>-4.7611133041092213E-4</v>
      </c>
    </row>
    <row r="73" spans="1:3" x14ac:dyDescent="0.15">
      <c r="A73" s="42">
        <v>40544</v>
      </c>
      <c r="B73" s="9">
        <v>283193.59999999998</v>
      </c>
      <c r="C73" s="908">
        <f t="shared" si="0"/>
        <v>-1.8938857238867235E-2</v>
      </c>
    </row>
    <row r="74" spans="1:3" x14ac:dyDescent="0.15">
      <c r="A74" s="42">
        <v>40634</v>
      </c>
      <c r="B74" s="9">
        <v>293569.3</v>
      </c>
      <c r="C74" s="908">
        <f t="shared" si="0"/>
        <v>3.6638186738683354E-2</v>
      </c>
    </row>
    <row r="75" spans="1:3" x14ac:dyDescent="0.15">
      <c r="A75" s="42">
        <v>40725</v>
      </c>
      <c r="B75" s="9">
        <v>299013.8</v>
      </c>
      <c r="C75" s="908">
        <f t="shared" si="0"/>
        <v>1.8545876561343544E-2</v>
      </c>
    </row>
    <row r="76" spans="1:3" x14ac:dyDescent="0.15">
      <c r="A76" s="42">
        <v>40817</v>
      </c>
      <c r="B76" s="9">
        <v>296073.3</v>
      </c>
      <c r="C76" s="908">
        <f t="shared" si="0"/>
        <v>-9.8339942838758798E-3</v>
      </c>
    </row>
    <row r="77" spans="1:3" x14ac:dyDescent="0.15">
      <c r="A77" s="42">
        <v>40909</v>
      </c>
      <c r="B77" s="9">
        <v>288028.3</v>
      </c>
      <c r="C77" s="908">
        <f t="shared" si="0"/>
        <v>-2.7172325231623384E-2</v>
      </c>
    </row>
    <row r="78" spans="1:3" x14ac:dyDescent="0.15">
      <c r="A78" s="42">
        <v>41000</v>
      </c>
      <c r="B78" s="9">
        <v>296465.3</v>
      </c>
      <c r="C78" s="908">
        <f t="shared" si="0"/>
        <v>2.9292260517456148E-2</v>
      </c>
    </row>
    <row r="79" spans="1:3" x14ac:dyDescent="0.15">
      <c r="A79" s="42">
        <v>41091</v>
      </c>
      <c r="B79" s="9">
        <v>306445.5</v>
      </c>
      <c r="C79" s="908">
        <f t="shared" ref="C79:C118" si="1">B79/B78-1</f>
        <v>3.3663973490320798E-2</v>
      </c>
    </row>
    <row r="80" spans="1:3" x14ac:dyDescent="0.15">
      <c r="A80" s="42">
        <v>41183</v>
      </c>
      <c r="B80" s="9">
        <v>303424.2</v>
      </c>
      <c r="C80" s="908">
        <f t="shared" si="1"/>
        <v>-9.8591756119766893E-3</v>
      </c>
    </row>
    <row r="81" spans="1:3" x14ac:dyDescent="0.15">
      <c r="A81" s="42">
        <v>41275</v>
      </c>
      <c r="B81" s="9">
        <v>295865.90000000002</v>
      </c>
      <c r="C81" s="908">
        <f t="shared" si="1"/>
        <v>-2.4910010473785493E-2</v>
      </c>
    </row>
    <row r="82" spans="1:3" x14ac:dyDescent="0.15">
      <c r="A82" s="42">
        <v>41365</v>
      </c>
      <c r="B82" s="9">
        <v>308388.7</v>
      </c>
      <c r="C82" s="908">
        <f t="shared" si="1"/>
        <v>4.2325932119923193E-2</v>
      </c>
    </row>
    <row r="83" spans="1:3" x14ac:dyDescent="0.15">
      <c r="A83" s="42">
        <v>41456</v>
      </c>
      <c r="B83" s="9">
        <v>314900.2</v>
      </c>
      <c r="C83" s="908">
        <f t="shared" si="1"/>
        <v>2.1114586883371533E-2</v>
      </c>
    </row>
    <row r="84" spans="1:3" x14ac:dyDescent="0.15">
      <c r="A84" s="42">
        <v>41548</v>
      </c>
      <c r="B84" s="9">
        <v>311097</v>
      </c>
      <c r="C84" s="908">
        <f t="shared" si="1"/>
        <v>-1.2077477245171719E-2</v>
      </c>
    </row>
    <row r="85" spans="1:3" x14ac:dyDescent="0.15">
      <c r="A85" s="42">
        <v>41640</v>
      </c>
      <c r="B85" s="9">
        <v>306130.2</v>
      </c>
      <c r="C85" s="908">
        <f t="shared" si="1"/>
        <v>-1.5965438432385959E-2</v>
      </c>
    </row>
    <row r="86" spans="1:3" x14ac:dyDescent="0.15">
      <c r="A86" s="42">
        <v>41730</v>
      </c>
      <c r="B86" s="9">
        <v>307046.09999999998</v>
      </c>
      <c r="C86" s="908">
        <f t="shared" si="1"/>
        <v>2.9918642459971778E-3</v>
      </c>
    </row>
    <row r="87" spans="1:3" x14ac:dyDescent="0.15">
      <c r="A87" s="42">
        <v>41821</v>
      </c>
      <c r="B87" s="9">
        <v>312888.7</v>
      </c>
      <c r="C87" s="908">
        <f t="shared" si="1"/>
        <v>1.9028412997266653E-2</v>
      </c>
    </row>
    <row r="88" spans="1:3" x14ac:dyDescent="0.15">
      <c r="A88" s="42">
        <v>41913</v>
      </c>
      <c r="B88" s="9">
        <v>310386.8</v>
      </c>
      <c r="C88" s="908">
        <f t="shared" si="1"/>
        <v>-7.9961340885753573E-3</v>
      </c>
    </row>
    <row r="89" spans="1:3" x14ac:dyDescent="0.15">
      <c r="A89" s="42">
        <v>42005</v>
      </c>
      <c r="B89" s="9">
        <v>301174.2</v>
      </c>
      <c r="C89" s="908">
        <f t="shared" si="1"/>
        <v>-2.9681030249997686E-2</v>
      </c>
    </row>
    <row r="90" spans="1:3" x14ac:dyDescent="0.15">
      <c r="A90" s="42">
        <v>42095</v>
      </c>
      <c r="B90" s="9">
        <v>298633.09999999998</v>
      </c>
      <c r="C90" s="908">
        <f t="shared" si="1"/>
        <v>-8.4373097031552602E-3</v>
      </c>
    </row>
    <row r="91" spans="1:3" x14ac:dyDescent="0.15">
      <c r="A91" s="42">
        <v>42186</v>
      </c>
      <c r="B91" s="9">
        <v>299550.59999999998</v>
      </c>
      <c r="C91" s="908">
        <f t="shared" si="1"/>
        <v>3.0723319015875106E-3</v>
      </c>
    </row>
    <row r="92" spans="1:3" x14ac:dyDescent="0.15">
      <c r="A92" s="42">
        <v>42278</v>
      </c>
      <c r="B92" s="9">
        <v>293252.2</v>
      </c>
      <c r="C92" s="908">
        <f t="shared" si="1"/>
        <v>-2.102616386012901E-2</v>
      </c>
    </row>
    <row r="93" spans="1:3" x14ac:dyDescent="0.15">
      <c r="A93" s="42">
        <v>42370</v>
      </c>
      <c r="B93" s="9">
        <v>285693.3</v>
      </c>
      <c r="C93" s="908">
        <f t="shared" si="1"/>
        <v>-2.5776106709514912E-2</v>
      </c>
    </row>
    <row r="94" spans="1:3" x14ac:dyDescent="0.15">
      <c r="A94" s="42">
        <v>42461</v>
      </c>
      <c r="B94" s="9">
        <v>289016.7</v>
      </c>
      <c r="C94" s="908">
        <f t="shared" si="1"/>
        <v>1.1632754425812575E-2</v>
      </c>
    </row>
    <row r="95" spans="1:3" x14ac:dyDescent="0.15">
      <c r="A95" s="42">
        <v>42552</v>
      </c>
      <c r="B95" s="9">
        <v>292199.59999999998</v>
      </c>
      <c r="C95" s="908">
        <f t="shared" si="1"/>
        <v>1.1012858426519889E-2</v>
      </c>
    </row>
    <row r="96" spans="1:3" x14ac:dyDescent="0.15">
      <c r="A96" s="42">
        <v>42644</v>
      </c>
      <c r="B96" s="9">
        <v>286631.59999999998</v>
      </c>
      <c r="C96" s="908">
        <f t="shared" si="1"/>
        <v>-1.9055467563952821E-2</v>
      </c>
    </row>
    <row r="97" spans="1:3" x14ac:dyDescent="0.15">
      <c r="A97" s="42">
        <v>42736</v>
      </c>
      <c r="B97" s="9">
        <v>286522.90000000002</v>
      </c>
      <c r="C97" s="908">
        <f t="shared" si="1"/>
        <v>-3.7923243633974923E-4</v>
      </c>
    </row>
    <row r="98" spans="1:3" x14ac:dyDescent="0.15">
      <c r="A98" s="42">
        <v>42826</v>
      </c>
      <c r="B98" s="9">
        <v>291312.90000000002</v>
      </c>
      <c r="C98" s="908">
        <f t="shared" si="1"/>
        <v>1.6717686439722712E-2</v>
      </c>
    </row>
    <row r="99" spans="1:3" x14ac:dyDescent="0.15">
      <c r="A99" s="42">
        <v>42917</v>
      </c>
      <c r="B99" s="9">
        <v>296991.90000000002</v>
      </c>
      <c r="C99" s="908">
        <f t="shared" si="1"/>
        <v>1.9494502303193606E-2</v>
      </c>
    </row>
    <row r="100" spans="1:3" x14ac:dyDescent="0.15">
      <c r="A100" s="42">
        <v>43009</v>
      </c>
      <c r="B100" s="9">
        <v>293973.3</v>
      </c>
      <c r="C100" s="908">
        <f t="shared" si="1"/>
        <v>-1.0163913561279103E-2</v>
      </c>
    </row>
    <row r="101" spans="1:3" x14ac:dyDescent="0.15">
      <c r="A101" s="42">
        <v>43101</v>
      </c>
      <c r="B101" s="9">
        <v>291881.8</v>
      </c>
      <c r="C101" s="908">
        <f t="shared" si="1"/>
        <v>-7.1145916993141656E-3</v>
      </c>
    </row>
    <row r="102" spans="1:3" x14ac:dyDescent="0.15">
      <c r="A102" s="42">
        <v>43191</v>
      </c>
      <c r="B102" s="9">
        <v>295940</v>
      </c>
      <c r="C102" s="908">
        <f t="shared" si="1"/>
        <v>1.3903573295765748E-2</v>
      </c>
    </row>
    <row r="103" spans="1:3" x14ac:dyDescent="0.15">
      <c r="A103" s="42">
        <v>43282</v>
      </c>
      <c r="B103" s="9">
        <v>303107.20000000001</v>
      </c>
      <c r="C103" s="908">
        <f t="shared" si="1"/>
        <v>2.4218422653240479E-2</v>
      </c>
    </row>
    <row r="104" spans="1:3" x14ac:dyDescent="0.15">
      <c r="A104" s="42">
        <v>43374</v>
      </c>
      <c r="B104" s="9">
        <v>298719.59999999998</v>
      </c>
      <c r="C104" s="908">
        <f t="shared" si="1"/>
        <v>-1.4475406720790618E-2</v>
      </c>
    </row>
    <row r="105" spans="1:3" x14ac:dyDescent="0.15">
      <c r="A105" s="42">
        <v>43466</v>
      </c>
      <c r="B105" s="9">
        <v>294929.8</v>
      </c>
      <c r="C105" s="908">
        <f t="shared" si="1"/>
        <v>-1.2686813988770695E-2</v>
      </c>
    </row>
    <row r="106" spans="1:3" x14ac:dyDescent="0.15">
      <c r="A106" s="42">
        <v>43556</v>
      </c>
      <c r="B106" s="9">
        <v>299767.59999999998</v>
      </c>
      <c r="C106" s="908">
        <f t="shared" si="1"/>
        <v>1.6403225445512648E-2</v>
      </c>
    </row>
    <row r="107" spans="1:3" x14ac:dyDescent="0.15">
      <c r="A107" s="42">
        <v>43647</v>
      </c>
      <c r="B107" s="9">
        <v>306442.40000000002</v>
      </c>
      <c r="C107" s="908">
        <f t="shared" si="1"/>
        <v>2.2266582512586508E-2</v>
      </c>
    </row>
    <row r="108" spans="1:3" x14ac:dyDescent="0.15">
      <c r="A108" s="42">
        <v>43739</v>
      </c>
      <c r="B108" s="9">
        <v>303031.7</v>
      </c>
      <c r="C108" s="908">
        <f t="shared" si="1"/>
        <v>-1.1129987234142602E-2</v>
      </c>
    </row>
    <row r="109" spans="1:3" x14ac:dyDescent="0.15">
      <c r="A109" s="42">
        <v>43831</v>
      </c>
      <c r="B109" s="9">
        <v>294560.09999999998</v>
      </c>
      <c r="C109" s="908">
        <f t="shared" si="1"/>
        <v>-2.7956151122143447E-2</v>
      </c>
    </row>
    <row r="110" spans="1:3" x14ac:dyDescent="0.15">
      <c r="A110" s="42">
        <v>43922</v>
      </c>
      <c r="B110" s="9">
        <v>267589.8</v>
      </c>
      <c r="C110" s="908">
        <f t="shared" si="1"/>
        <v>-9.1561280702987191E-2</v>
      </c>
    </row>
    <row r="111" spans="1:3" x14ac:dyDescent="0.15">
      <c r="A111" s="42">
        <v>44013</v>
      </c>
      <c r="B111" s="9">
        <v>295084.3</v>
      </c>
      <c r="C111" s="908">
        <f t="shared" si="1"/>
        <v>0.10274868474059917</v>
      </c>
    </row>
    <row r="112" spans="1:3" x14ac:dyDescent="0.15">
      <c r="A112" s="42">
        <v>44105</v>
      </c>
      <c r="B112" s="9">
        <v>300231.5</v>
      </c>
      <c r="C112" s="908">
        <f t="shared" si="1"/>
        <v>1.7443150991089729E-2</v>
      </c>
    </row>
    <row r="113" spans="1:4" x14ac:dyDescent="0.15">
      <c r="A113" s="42">
        <v>44197</v>
      </c>
      <c r="B113" s="9">
        <v>298350.40000000002</v>
      </c>
      <c r="C113" s="908">
        <f t="shared" si="1"/>
        <v>-6.2654984570239547E-3</v>
      </c>
    </row>
    <row r="114" spans="1:4" x14ac:dyDescent="0.15">
      <c r="A114" s="42">
        <v>44287</v>
      </c>
      <c r="B114" s="9">
        <v>300500</v>
      </c>
      <c r="C114" s="908">
        <f t="shared" si="1"/>
        <v>7.2049509569953596E-3</v>
      </c>
    </row>
    <row r="115" spans="1:4" x14ac:dyDescent="0.15">
      <c r="A115" s="42">
        <v>44378</v>
      </c>
      <c r="B115" s="9">
        <v>306899.40000000002</v>
      </c>
      <c r="C115" s="908">
        <f t="shared" si="1"/>
        <v>2.1295840266223109E-2</v>
      </c>
    </row>
    <row r="116" spans="1:4" x14ac:dyDescent="0.15">
      <c r="A116" s="42">
        <v>44470</v>
      </c>
      <c r="B116" s="9">
        <v>305183.90000000002</v>
      </c>
      <c r="C116" s="908">
        <f t="shared" si="1"/>
        <v>-5.5897795824950691E-3</v>
      </c>
    </row>
    <row r="117" spans="1:4" x14ac:dyDescent="0.15">
      <c r="A117" s="42">
        <v>44562</v>
      </c>
      <c r="B117" s="9">
        <v>303390.8</v>
      </c>
      <c r="C117" s="908">
        <f t="shared" si="1"/>
        <v>-5.8754737717161554E-3</v>
      </c>
      <c r="D117" s="64"/>
    </row>
    <row r="118" spans="1:4" x14ac:dyDescent="0.15">
      <c r="A118" s="42">
        <v>44652</v>
      </c>
      <c r="B118" s="9">
        <v>310255.09999999998</v>
      </c>
      <c r="C118" s="908">
        <f t="shared" si="1"/>
        <v>2.2625274068956536E-2</v>
      </c>
    </row>
    <row r="120" spans="1:4" ht="20" x14ac:dyDescent="0.2">
      <c r="B120" s="10"/>
      <c r="C120" s="10"/>
      <c r="D120" s="11"/>
    </row>
    <row r="121" spans="1:4" x14ac:dyDescent="0.15">
      <c r="B121" s="10">
        <f>SUM(B114:B117)/SUM(B110:B113)-1</f>
        <v>4.7119756539471203E-2</v>
      </c>
    </row>
    <row r="122" spans="1:4" x14ac:dyDescent="0.15">
      <c r="B122" s="10"/>
      <c r="C122" s="7">
        <f>1.83/1.75-1</f>
        <v>4.5714285714285818E-2</v>
      </c>
    </row>
    <row r="123" spans="1:4" x14ac:dyDescent="0.15">
      <c r="B123" s="10"/>
    </row>
    <row r="124" spans="1:4" x14ac:dyDescent="0.15">
      <c r="B124" s="10"/>
    </row>
    <row r="125" spans="1:4" x14ac:dyDescent="0.15">
      <c r="B125" s="10"/>
    </row>
    <row r="126" spans="1:4" x14ac:dyDescent="0.15">
      <c r="B126" s="10"/>
    </row>
    <row r="127" spans="1:4" x14ac:dyDescent="0.15">
      <c r="B127" s="10"/>
    </row>
    <row r="128" spans="1:4" x14ac:dyDescent="0.15">
      <c r="B128" s="10"/>
    </row>
    <row r="129" spans="2:2" x14ac:dyDescent="0.15">
      <c r="B129" s="10"/>
    </row>
    <row r="130" spans="2:2" x14ac:dyDescent="0.15">
      <c r="B130" s="10"/>
    </row>
    <row r="131" spans="2:2" x14ac:dyDescent="0.15">
      <c r="B131" s="10"/>
    </row>
    <row r="132" spans="2:2" x14ac:dyDescent="0.15">
      <c r="B132" s="10"/>
    </row>
    <row r="133" spans="2:2" x14ac:dyDescent="0.15">
      <c r="B133" s="10"/>
    </row>
    <row r="134" spans="2:2" x14ac:dyDescent="0.15">
      <c r="B134" s="10"/>
    </row>
    <row r="135" spans="2:2" x14ac:dyDescent="0.15">
      <c r="B135" s="10"/>
    </row>
    <row r="136" spans="2:2" x14ac:dyDescent="0.15">
      <c r="B136" s="10"/>
    </row>
    <row r="137" spans="2:2" x14ac:dyDescent="0.15">
      <c r="B137" s="10"/>
    </row>
    <row r="138" spans="2:2" x14ac:dyDescent="0.15">
      <c r="B138" s="10"/>
    </row>
    <row r="139" spans="2:2" x14ac:dyDescent="0.15">
      <c r="B139" s="10"/>
    </row>
    <row r="140" spans="2:2" x14ac:dyDescent="0.15">
      <c r="B140" s="10"/>
    </row>
    <row r="141" spans="2:2" x14ac:dyDescent="0.15">
      <c r="B141" s="10"/>
    </row>
    <row r="142" spans="2:2" x14ac:dyDescent="0.15">
      <c r="B142" s="10"/>
    </row>
    <row r="143" spans="2:2" x14ac:dyDescent="0.15">
      <c r="B143" s="10"/>
    </row>
    <row r="144" spans="2:2" x14ac:dyDescent="0.15">
      <c r="B144" s="10"/>
    </row>
    <row r="145" spans="2:2" x14ac:dyDescent="0.15">
      <c r="B145" s="10"/>
    </row>
    <row r="146" spans="2:2" x14ac:dyDescent="0.15">
      <c r="B146" s="10"/>
    </row>
    <row r="147" spans="2:2" x14ac:dyDescent="0.15">
      <c r="B147" s="10"/>
    </row>
    <row r="148" spans="2:2" x14ac:dyDescent="0.15">
      <c r="B148" s="10"/>
    </row>
    <row r="149" spans="2:2" x14ac:dyDescent="0.15">
      <c r="B149" s="10"/>
    </row>
    <row r="150" spans="2:2" x14ac:dyDescent="0.15">
      <c r="B150" s="10"/>
    </row>
    <row r="151" spans="2:2" x14ac:dyDescent="0.15">
      <c r="B151" s="10"/>
    </row>
    <row r="152" spans="2:2" x14ac:dyDescent="0.15">
      <c r="B152" s="10"/>
    </row>
    <row r="153" spans="2:2" x14ac:dyDescent="0.15">
      <c r="B153" s="10"/>
    </row>
    <row r="154" spans="2:2" x14ac:dyDescent="0.15">
      <c r="B154" s="10"/>
    </row>
    <row r="155" spans="2:2" x14ac:dyDescent="0.15">
      <c r="B155" s="10"/>
    </row>
    <row r="156" spans="2:2" x14ac:dyDescent="0.15">
      <c r="B156" s="10"/>
    </row>
    <row r="157" spans="2:2" x14ac:dyDescent="0.15">
      <c r="B157" s="10"/>
    </row>
    <row r="158" spans="2:2" x14ac:dyDescent="0.15">
      <c r="B158" s="10"/>
    </row>
    <row r="159" spans="2:2" x14ac:dyDescent="0.15">
      <c r="B159" s="10"/>
    </row>
    <row r="160" spans="2:2" x14ac:dyDescent="0.15">
      <c r="B160" s="10"/>
    </row>
    <row r="161" spans="2:2" x14ac:dyDescent="0.15">
      <c r="B161" s="10"/>
    </row>
    <row r="162" spans="2:2" x14ac:dyDescent="0.15">
      <c r="B162" s="10"/>
    </row>
    <row r="163" spans="2:2" x14ac:dyDescent="0.15">
      <c r="B163" s="10"/>
    </row>
    <row r="164" spans="2:2" x14ac:dyDescent="0.15">
      <c r="B164" s="10"/>
    </row>
    <row r="165" spans="2:2" x14ac:dyDescent="0.15">
      <c r="B165" s="10"/>
    </row>
    <row r="166" spans="2:2" x14ac:dyDescent="0.15">
      <c r="B166" s="10"/>
    </row>
    <row r="167" spans="2:2" x14ac:dyDescent="0.15">
      <c r="B167" s="10"/>
    </row>
    <row r="168" spans="2:2" x14ac:dyDescent="0.15">
      <c r="B168" s="10"/>
    </row>
    <row r="169" spans="2:2" x14ac:dyDescent="0.15">
      <c r="B169" s="10"/>
    </row>
    <row r="170" spans="2:2" x14ac:dyDescent="0.15">
      <c r="B170" s="10"/>
    </row>
    <row r="171" spans="2:2" x14ac:dyDescent="0.15">
      <c r="B171" s="10"/>
    </row>
    <row r="172" spans="2:2" x14ac:dyDescent="0.15">
      <c r="B172" s="10"/>
    </row>
    <row r="173" spans="2:2" x14ac:dyDescent="0.15">
      <c r="B173" s="10"/>
    </row>
    <row r="174" spans="2:2" x14ac:dyDescent="0.15">
      <c r="B174" s="10"/>
    </row>
    <row r="175" spans="2:2" x14ac:dyDescent="0.15">
      <c r="B175" s="10"/>
    </row>
    <row r="176" spans="2:2" x14ac:dyDescent="0.15">
      <c r="B176" s="10"/>
    </row>
    <row r="177" spans="2:2" x14ac:dyDescent="0.15">
      <c r="B177" s="10"/>
    </row>
    <row r="178" spans="2:2" x14ac:dyDescent="0.15">
      <c r="B178" s="10"/>
    </row>
    <row r="179" spans="2:2" x14ac:dyDescent="0.15">
      <c r="B179" s="10"/>
    </row>
    <row r="180" spans="2:2" x14ac:dyDescent="0.15">
      <c r="B180" s="10"/>
    </row>
    <row r="181" spans="2:2" x14ac:dyDescent="0.15">
      <c r="B181" s="10"/>
    </row>
    <row r="182" spans="2:2" x14ac:dyDescent="0.15">
      <c r="B182" s="10"/>
    </row>
    <row r="183" spans="2:2" x14ac:dyDescent="0.15">
      <c r="B183" s="10"/>
    </row>
    <row r="184" spans="2:2" x14ac:dyDescent="0.15">
      <c r="B184" s="10"/>
    </row>
    <row r="185" spans="2:2" x14ac:dyDescent="0.15">
      <c r="B185" s="10"/>
    </row>
    <row r="186" spans="2:2" x14ac:dyDescent="0.15">
      <c r="B186" s="10"/>
    </row>
    <row r="187" spans="2:2" x14ac:dyDescent="0.15">
      <c r="B187" s="10"/>
    </row>
    <row r="188" spans="2:2" x14ac:dyDescent="0.15">
      <c r="B188" s="10"/>
    </row>
    <row r="189" spans="2:2" x14ac:dyDescent="0.15">
      <c r="B189" s="10"/>
    </row>
    <row r="190" spans="2:2" x14ac:dyDescent="0.15">
      <c r="B190" s="10"/>
    </row>
    <row r="191" spans="2:2" x14ac:dyDescent="0.15">
      <c r="B191" s="10"/>
    </row>
    <row r="192" spans="2:2" x14ac:dyDescent="0.15">
      <c r="B192" s="10"/>
    </row>
    <row r="193" spans="2:2" x14ac:dyDescent="0.15">
      <c r="B193" s="10"/>
    </row>
    <row r="194" spans="2:2" x14ac:dyDescent="0.15">
      <c r="B194" s="10"/>
    </row>
    <row r="195" spans="2:2" x14ac:dyDescent="0.15">
      <c r="B195" s="10"/>
    </row>
    <row r="196" spans="2:2" x14ac:dyDescent="0.15">
      <c r="B196" s="10"/>
    </row>
    <row r="197" spans="2:2" x14ac:dyDescent="0.15">
      <c r="B197" s="10"/>
    </row>
    <row r="198" spans="2:2" x14ac:dyDescent="0.15">
      <c r="B198" s="10"/>
    </row>
    <row r="199" spans="2:2" x14ac:dyDescent="0.15">
      <c r="B199" s="10"/>
    </row>
  </sheetData>
  <mergeCells count="4">
    <mergeCell ref="D2:D4"/>
    <mergeCell ref="E2:E4"/>
    <mergeCell ref="D5:D7"/>
    <mergeCell ref="E5:E7"/>
  </mergeCells>
  <pageMargins left="0.75" right="0.75" top="1" bottom="1" header="0.5" footer="0.5"/>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BBDE0-7E78-2942-BFF4-F4E45633AC5C}">
  <sheetPr>
    <tabColor theme="4" tint="0.79998168889431442"/>
  </sheetPr>
  <dimension ref="A1:AE214"/>
  <sheetViews>
    <sheetView tabSelected="1" zoomScale="84" workbookViewId="0">
      <selection activeCell="H10" sqref="H10"/>
    </sheetView>
  </sheetViews>
  <sheetFormatPr baseColWidth="10" defaultColWidth="11.1640625" defaultRowHeight="16" x14ac:dyDescent="0.2"/>
  <cols>
    <col min="1" max="1" width="19.5" bestFit="1" customWidth="1"/>
    <col min="2" max="2" width="15.1640625" bestFit="1" customWidth="1"/>
    <col min="3" max="3" width="11" bestFit="1" customWidth="1"/>
    <col min="4" max="4" width="12.83203125" bestFit="1" customWidth="1"/>
    <col min="5" max="5" width="20.5" bestFit="1" customWidth="1"/>
    <col min="6" max="6" width="11" bestFit="1" customWidth="1"/>
    <col min="7" max="7" width="13.83203125" bestFit="1" customWidth="1"/>
    <col min="8" max="8" width="14.33203125" bestFit="1" customWidth="1"/>
    <col min="9" max="9" width="15" bestFit="1" customWidth="1"/>
  </cols>
  <sheetData>
    <row r="1" spans="1:8" ht="52" thickBot="1" x14ac:dyDescent="0.25">
      <c r="A1" s="34" t="s">
        <v>824</v>
      </c>
      <c r="B1" s="34" t="s">
        <v>918</v>
      </c>
      <c r="C1" s="34" t="s">
        <v>919</v>
      </c>
      <c r="D1" s="35" t="s">
        <v>920</v>
      </c>
      <c r="E1" s="34" t="s">
        <v>921</v>
      </c>
      <c r="F1" s="34" t="s">
        <v>922</v>
      </c>
      <c r="G1" s="34" t="s">
        <v>923</v>
      </c>
      <c r="H1" s="34" t="s">
        <v>924</v>
      </c>
    </row>
    <row r="2" spans="1:8" ht="17" thickTop="1" x14ac:dyDescent="0.2">
      <c r="A2" s="30">
        <v>36526</v>
      </c>
      <c r="B2" s="6">
        <v>6331103905</v>
      </c>
      <c r="C2" s="31">
        <v>187799.5</v>
      </c>
      <c r="D2" s="32">
        <v>0.77733333299999996</v>
      </c>
      <c r="E2">
        <f t="shared" ref="E2:F33" si="0">LN(B2)</f>
        <v>22.568740450472919</v>
      </c>
      <c r="F2">
        <f t="shared" si="0"/>
        <v>12.14313018334594</v>
      </c>
      <c r="G2">
        <f>LN('Real GDP Brazil'!B29)</f>
        <v>12.14313018334594</v>
      </c>
      <c r="H2">
        <f>LN(0.652333333)</f>
        <v>-0.42719960076515678</v>
      </c>
    </row>
    <row r="3" spans="1:8" x14ac:dyDescent="0.2">
      <c r="A3" s="30">
        <v>36617</v>
      </c>
      <c r="B3" s="6">
        <v>5853651051</v>
      </c>
      <c r="C3" s="31">
        <v>194596.6</v>
      </c>
      <c r="D3" s="32">
        <v>0.75533333300000005</v>
      </c>
      <c r="E3">
        <f t="shared" si="0"/>
        <v>22.490331414795776</v>
      </c>
      <c r="F3">
        <f t="shared" si="0"/>
        <v>12.178683976844512</v>
      </c>
      <c r="G3">
        <f>F3</f>
        <v>12.178683976844512</v>
      </c>
      <c r="H3">
        <v>-0.25188602060868026</v>
      </c>
    </row>
    <row r="4" spans="1:8" x14ac:dyDescent="0.2">
      <c r="A4" s="30">
        <v>36708</v>
      </c>
      <c r="B4" s="6">
        <v>6527334337</v>
      </c>
      <c r="C4" s="31">
        <v>201534.7</v>
      </c>
      <c r="D4" s="32">
        <v>0.90433333299999996</v>
      </c>
      <c r="E4">
        <f t="shared" si="0"/>
        <v>22.599264478973829</v>
      </c>
      <c r="F4">
        <f t="shared" si="0"/>
        <v>12.213716853979429</v>
      </c>
      <c r="G4">
        <f t="shared" ref="G4:G67" si="1">F4</f>
        <v>12.213716853979429</v>
      </c>
      <c r="H4">
        <v>-0.28059612650360133</v>
      </c>
    </row>
    <row r="5" spans="1:8" x14ac:dyDescent="0.2">
      <c r="A5" s="30">
        <v>36800</v>
      </c>
      <c r="B5" s="6">
        <v>6507878786</v>
      </c>
      <c r="C5" s="31">
        <v>201179.5</v>
      </c>
      <c r="D5" s="32">
        <v>0.95766666700000003</v>
      </c>
      <c r="E5">
        <f t="shared" si="0"/>
        <v>22.596279400745605</v>
      </c>
      <c r="F5">
        <f t="shared" si="0"/>
        <v>12.211952823348726</v>
      </c>
      <c r="G5">
        <f t="shared" si="1"/>
        <v>12.211952823348726</v>
      </c>
      <c r="H5">
        <v>-0.1005572553599107</v>
      </c>
    </row>
    <row r="6" spans="1:8" x14ac:dyDescent="0.2">
      <c r="A6" s="30">
        <v>36892</v>
      </c>
      <c r="B6" s="6">
        <v>6474253999</v>
      </c>
      <c r="C6" s="31">
        <v>194325.7</v>
      </c>
      <c r="D6" s="32">
        <v>0.81100000000000005</v>
      </c>
      <c r="E6">
        <f t="shared" si="0"/>
        <v>22.591099225384887</v>
      </c>
      <c r="F6">
        <f t="shared" si="0"/>
        <v>12.17729089630472</v>
      </c>
      <c r="G6">
        <f t="shared" si="1"/>
        <v>12.17729089630472</v>
      </c>
      <c r="H6">
        <v>-4.3255508322888943E-2</v>
      </c>
    </row>
    <row r="7" spans="1:8" x14ac:dyDescent="0.2">
      <c r="A7" s="30">
        <v>36982</v>
      </c>
      <c r="B7" s="6">
        <v>6078702660</v>
      </c>
      <c r="C7" s="31">
        <v>199123</v>
      </c>
      <c r="D7" s="32">
        <v>0.78600000000000003</v>
      </c>
      <c r="E7">
        <f t="shared" si="0"/>
        <v>22.528057131866628</v>
      </c>
      <c r="F7">
        <f t="shared" si="0"/>
        <v>12.201678003219662</v>
      </c>
      <c r="G7">
        <f t="shared" si="1"/>
        <v>12.201678003219662</v>
      </c>
      <c r="H7">
        <v>-0.20948722486672405</v>
      </c>
    </row>
    <row r="8" spans="1:8" x14ac:dyDescent="0.2">
      <c r="A8" s="30">
        <v>37073</v>
      </c>
      <c r="B8" s="6">
        <v>6746361477</v>
      </c>
      <c r="C8" s="31">
        <v>202464.1</v>
      </c>
      <c r="D8" s="32">
        <v>0.73766666700000005</v>
      </c>
      <c r="E8">
        <f t="shared" si="0"/>
        <v>22.632269156051876</v>
      </c>
      <c r="F8">
        <f t="shared" si="0"/>
        <v>12.218317865861456</v>
      </c>
      <c r="G8">
        <f t="shared" si="1"/>
        <v>12.218317865861456</v>
      </c>
      <c r="H8">
        <v>-0.24079848655293046</v>
      </c>
    </row>
    <row r="9" spans="1:8" x14ac:dyDescent="0.2">
      <c r="A9" s="30">
        <v>37165</v>
      </c>
      <c r="B9" s="6">
        <v>6800534625</v>
      </c>
      <c r="C9" s="31">
        <v>200109.7</v>
      </c>
      <c r="D9" s="32">
        <v>0.56000000000000005</v>
      </c>
      <c r="E9">
        <f t="shared" si="0"/>
        <v>22.640267067361506</v>
      </c>
      <c r="F9">
        <f t="shared" si="0"/>
        <v>12.206620995159032</v>
      </c>
      <c r="G9">
        <f t="shared" si="1"/>
        <v>12.206620995159032</v>
      </c>
      <c r="H9">
        <v>-0.30426322714732174</v>
      </c>
    </row>
    <row r="10" spans="1:8" x14ac:dyDescent="0.2">
      <c r="A10" s="30">
        <v>37257</v>
      </c>
      <c r="B10" s="6">
        <v>6845593446</v>
      </c>
      <c r="C10" s="31">
        <v>195252.5</v>
      </c>
      <c r="D10" s="32">
        <v>0.571333333</v>
      </c>
      <c r="E10">
        <f t="shared" si="0"/>
        <v>22.646870989664365</v>
      </c>
      <c r="F10">
        <f t="shared" si="0"/>
        <v>12.182048871717273</v>
      </c>
      <c r="G10">
        <f t="shared" si="1"/>
        <v>12.182048871717273</v>
      </c>
      <c r="H10">
        <v>-0.57981849525294205</v>
      </c>
    </row>
    <row r="11" spans="1:8" x14ac:dyDescent="0.2">
      <c r="A11" s="30">
        <v>37347</v>
      </c>
      <c r="B11" s="6">
        <v>6548776431</v>
      </c>
      <c r="C11" s="31">
        <v>203699.3</v>
      </c>
      <c r="D11" s="32">
        <v>0.66266666699999999</v>
      </c>
      <c r="E11">
        <f t="shared" si="0"/>
        <v>22.602544064715971</v>
      </c>
      <c r="F11">
        <f t="shared" si="0"/>
        <v>12.224400165782876</v>
      </c>
      <c r="G11">
        <f t="shared" si="1"/>
        <v>12.224400165782876</v>
      </c>
      <c r="H11">
        <v>-0.55978246907595219</v>
      </c>
    </row>
    <row r="12" spans="1:8" x14ac:dyDescent="0.2">
      <c r="A12" s="30">
        <v>37438</v>
      </c>
      <c r="B12" s="6">
        <v>7124301197</v>
      </c>
      <c r="C12" s="31">
        <v>210916.4</v>
      </c>
      <c r="D12" s="32">
        <v>0.73766666700000005</v>
      </c>
      <c r="E12">
        <f t="shared" si="0"/>
        <v>22.686777480677165</v>
      </c>
      <c r="F12">
        <f t="shared" si="0"/>
        <v>12.259217125416059</v>
      </c>
      <c r="G12">
        <f t="shared" si="1"/>
        <v>12.259217125416059</v>
      </c>
      <c r="H12">
        <v>-0.41148317993070932</v>
      </c>
    </row>
    <row r="13" spans="1:8" x14ac:dyDescent="0.2">
      <c r="A13" s="30">
        <v>37530</v>
      </c>
      <c r="B13" s="6">
        <v>6185844970</v>
      </c>
      <c r="C13" s="31">
        <v>210460.6</v>
      </c>
      <c r="D13" s="32">
        <v>0.76966666699999997</v>
      </c>
      <c r="E13">
        <f t="shared" si="0"/>
        <v>22.545529449466212</v>
      </c>
      <c r="F13">
        <f t="shared" si="0"/>
        <v>12.257053741188772</v>
      </c>
      <c r="G13">
        <f t="shared" si="1"/>
        <v>12.257053741188772</v>
      </c>
      <c r="H13">
        <v>-0.30426322714732174</v>
      </c>
    </row>
    <row r="14" spans="1:8" x14ac:dyDescent="0.2">
      <c r="A14" s="30">
        <v>37622</v>
      </c>
      <c r="B14" s="6">
        <v>6726270399</v>
      </c>
      <c r="C14" s="31">
        <v>200459.9</v>
      </c>
      <c r="D14" s="32">
        <v>0.94499999999999995</v>
      </c>
      <c r="E14">
        <f t="shared" si="0"/>
        <v>22.629286651508149</v>
      </c>
      <c r="F14">
        <f t="shared" si="0"/>
        <v>12.208369505726093</v>
      </c>
      <c r="G14">
        <f t="shared" si="1"/>
        <v>12.208369505726093</v>
      </c>
      <c r="H14">
        <v>-0.26179775786266352</v>
      </c>
    </row>
    <row r="15" spans="1:8" x14ac:dyDescent="0.2">
      <c r="A15" s="30">
        <v>37712</v>
      </c>
      <c r="B15" s="6">
        <v>6205083363</v>
      </c>
      <c r="C15" s="31">
        <v>205290.7</v>
      </c>
      <c r="D15" s="32">
        <v>0.73499999999999999</v>
      </c>
      <c r="E15">
        <f t="shared" si="0"/>
        <v>22.548634690323372</v>
      </c>
      <c r="F15">
        <f t="shared" si="0"/>
        <v>12.232182302419352</v>
      </c>
      <c r="G15">
        <f t="shared" si="1"/>
        <v>12.232182302419352</v>
      </c>
      <c r="H15">
        <v>-5.6570351488394351E-2</v>
      </c>
    </row>
    <row r="16" spans="1:8" x14ac:dyDescent="0.2">
      <c r="A16" s="30">
        <v>37803</v>
      </c>
      <c r="B16" s="6">
        <v>7557898117</v>
      </c>
      <c r="C16" s="31">
        <v>212237.1</v>
      </c>
      <c r="D16" s="32">
        <v>0.78033333299999996</v>
      </c>
      <c r="E16">
        <f t="shared" si="0"/>
        <v>22.74585896162937</v>
      </c>
      <c r="F16">
        <f t="shared" si="0"/>
        <v>12.265459324941414</v>
      </c>
      <c r="G16">
        <f t="shared" si="1"/>
        <v>12.265459324941414</v>
      </c>
      <c r="H16">
        <v>-0.3078847797693004</v>
      </c>
    </row>
    <row r="17" spans="1:8" x14ac:dyDescent="0.2">
      <c r="A17" s="30">
        <v>37895</v>
      </c>
      <c r="B17" s="6">
        <v>6847103613</v>
      </c>
      <c r="C17" s="31">
        <v>211699.6</v>
      </c>
      <c r="D17" s="32">
        <v>0.84233333300000002</v>
      </c>
      <c r="E17">
        <f t="shared" si="0"/>
        <v>22.647091569583662</v>
      </c>
      <c r="F17">
        <f t="shared" si="0"/>
        <v>12.262923567654946</v>
      </c>
      <c r="G17">
        <f t="shared" si="1"/>
        <v>12.262923567654946</v>
      </c>
      <c r="H17">
        <v>-0.24803410058650391</v>
      </c>
    </row>
    <row r="18" spans="1:8" x14ac:dyDescent="0.2">
      <c r="A18" s="30">
        <v>37987</v>
      </c>
      <c r="B18" s="6">
        <v>6933384713</v>
      </c>
      <c r="C18" s="31">
        <v>208233.9</v>
      </c>
      <c r="D18" s="32">
        <v>0.95933333300000001</v>
      </c>
      <c r="E18">
        <f t="shared" si="0"/>
        <v>22.659613945486964</v>
      </c>
      <c r="F18">
        <f t="shared" si="0"/>
        <v>12.246417246116076</v>
      </c>
      <c r="G18">
        <f t="shared" si="1"/>
        <v>12.246417246116076</v>
      </c>
      <c r="H18">
        <v>-0.17157946065777865</v>
      </c>
    </row>
    <row r="19" spans="1:8" x14ac:dyDescent="0.2">
      <c r="A19" s="30">
        <v>38078</v>
      </c>
      <c r="B19" s="6">
        <v>6852923944</v>
      </c>
      <c r="C19" s="31">
        <v>218240.9</v>
      </c>
      <c r="D19" s="32">
        <v>1.032333333</v>
      </c>
      <c r="E19">
        <f t="shared" si="0"/>
        <v>22.647941251283346</v>
      </c>
      <c r="F19">
        <f t="shared" si="0"/>
        <v>12.293354777529025</v>
      </c>
      <c r="G19">
        <f t="shared" si="1"/>
        <v>12.293354777529025</v>
      </c>
      <c r="H19">
        <v>-4.1516680550397124E-2</v>
      </c>
    </row>
    <row r="20" spans="1:8" x14ac:dyDescent="0.2">
      <c r="A20" s="30">
        <v>38169</v>
      </c>
      <c r="B20" s="6">
        <v>7465453370</v>
      </c>
      <c r="C20" s="31">
        <v>226157.4</v>
      </c>
      <c r="D20" s="32">
        <v>1.2446666669999999</v>
      </c>
      <c r="E20">
        <f t="shared" si="0"/>
        <v>22.733551998846252</v>
      </c>
      <c r="F20">
        <f t="shared" si="0"/>
        <v>12.328986496015574</v>
      </c>
      <c r="G20">
        <f t="shared" si="1"/>
        <v>12.328986496015574</v>
      </c>
      <c r="H20">
        <v>3.1821612000062893E-2</v>
      </c>
    </row>
    <row r="21" spans="1:8" x14ac:dyDescent="0.2">
      <c r="A21" s="30">
        <v>38261</v>
      </c>
      <c r="B21" s="6">
        <v>7629473016</v>
      </c>
      <c r="C21" s="31">
        <v>224844.79999999999</v>
      </c>
      <c r="D21" s="32">
        <v>1.3633333329999999</v>
      </c>
      <c r="E21">
        <f t="shared" si="0"/>
        <v>22.755284612491856</v>
      </c>
      <c r="F21">
        <f t="shared" si="0"/>
        <v>12.323165665402634</v>
      </c>
      <c r="G21">
        <f t="shared" si="1"/>
        <v>12.323165665402634</v>
      </c>
      <c r="H21">
        <v>0.21886775671923045</v>
      </c>
    </row>
    <row r="22" spans="1:8" x14ac:dyDescent="0.2">
      <c r="A22" s="30">
        <v>38353</v>
      </c>
      <c r="B22" s="6">
        <v>8188555680</v>
      </c>
      <c r="C22" s="31">
        <v>216947.1</v>
      </c>
      <c r="D22" s="32">
        <v>1.41</v>
      </c>
      <c r="E22">
        <f t="shared" si="0"/>
        <v>22.826003367611257</v>
      </c>
      <c r="F22">
        <f t="shared" si="0"/>
        <v>12.28740882400187</v>
      </c>
      <c r="G22">
        <f t="shared" si="1"/>
        <v>12.28740882400187</v>
      </c>
      <c r="H22">
        <v>0.30993268114210187</v>
      </c>
    </row>
    <row r="23" spans="1:8" x14ac:dyDescent="0.2">
      <c r="A23" s="30">
        <v>38443</v>
      </c>
      <c r="B23" s="6">
        <v>7979283076</v>
      </c>
      <c r="C23" s="31">
        <v>228007.2</v>
      </c>
      <c r="D23" s="32">
        <v>1.5660000000000001</v>
      </c>
      <c r="E23">
        <f t="shared" si="0"/>
        <v>22.800114404272016</v>
      </c>
      <c r="F23">
        <f t="shared" si="0"/>
        <v>12.337132486385341</v>
      </c>
      <c r="G23">
        <f t="shared" si="1"/>
        <v>12.337132486385341</v>
      </c>
      <c r="H23">
        <v>0.34358970439007686</v>
      </c>
    </row>
    <row r="24" spans="1:8" x14ac:dyDescent="0.2">
      <c r="A24" s="30">
        <v>38534</v>
      </c>
      <c r="B24" s="6">
        <v>9578056714</v>
      </c>
      <c r="C24" s="31">
        <v>230940.5</v>
      </c>
      <c r="D24" s="32">
        <v>1.923666667</v>
      </c>
      <c r="E24">
        <f t="shared" si="0"/>
        <v>22.982740560127226</v>
      </c>
      <c r="F24">
        <f t="shared" si="0"/>
        <v>12.349915380568023</v>
      </c>
      <c r="G24">
        <f t="shared" si="1"/>
        <v>12.349915380568023</v>
      </c>
      <c r="H24">
        <v>0.44852459756861141</v>
      </c>
    </row>
    <row r="25" spans="1:8" x14ac:dyDescent="0.2">
      <c r="A25" s="30">
        <v>38626</v>
      </c>
      <c r="B25" s="6">
        <v>9506249556</v>
      </c>
      <c r="C25" s="31">
        <v>229680.2</v>
      </c>
      <c r="D25" s="32">
        <v>1.9410000000000001</v>
      </c>
      <c r="E25">
        <f t="shared" si="0"/>
        <v>22.97521526726576</v>
      </c>
      <c r="F25">
        <f t="shared" si="0"/>
        <v>12.344443185571299</v>
      </c>
      <c r="G25">
        <f t="shared" si="1"/>
        <v>12.344443185571299</v>
      </c>
      <c r="H25">
        <v>0.65423308723399987</v>
      </c>
    </row>
    <row r="26" spans="1:8" x14ac:dyDescent="0.2">
      <c r="A26" s="30">
        <v>38718</v>
      </c>
      <c r="B26" s="6">
        <v>9959676972</v>
      </c>
      <c r="C26" s="31">
        <v>226230.5</v>
      </c>
      <c r="D26" s="32">
        <v>1.8149999999999999</v>
      </c>
      <c r="E26">
        <f t="shared" si="0"/>
        <v>23.021810475486852</v>
      </c>
      <c r="F26">
        <f t="shared" si="0"/>
        <v>12.329309670002482</v>
      </c>
      <c r="G26">
        <f t="shared" si="1"/>
        <v>12.329309670002482</v>
      </c>
      <c r="H26">
        <v>0.66320330418687323</v>
      </c>
    </row>
    <row r="27" spans="1:8" x14ac:dyDescent="0.2">
      <c r="A27" s="30">
        <v>38808</v>
      </c>
      <c r="B27" s="6">
        <v>9766282929</v>
      </c>
      <c r="C27" s="31">
        <v>233213.3</v>
      </c>
      <c r="D27" s="32">
        <v>2.0750000000000002</v>
      </c>
      <c r="E27">
        <f t="shared" si="0"/>
        <v>23.002201772983355</v>
      </c>
      <c r="F27">
        <f t="shared" si="0"/>
        <v>12.35970876442223</v>
      </c>
      <c r="G27">
        <f t="shared" si="1"/>
        <v>12.35970876442223</v>
      </c>
      <c r="H27">
        <v>0.59608546771681403</v>
      </c>
    </row>
    <row r="28" spans="1:8" x14ac:dyDescent="0.2">
      <c r="A28" s="30">
        <v>38899</v>
      </c>
      <c r="B28" s="6">
        <v>10336260362</v>
      </c>
      <c r="C28" s="31">
        <v>241316.2</v>
      </c>
      <c r="D28" s="32">
        <v>2.032333333</v>
      </c>
      <c r="E28">
        <f t="shared" si="0"/>
        <v>23.058923973491382</v>
      </c>
      <c r="F28">
        <f t="shared" si="0"/>
        <v>12.393863385704378</v>
      </c>
      <c r="G28">
        <f t="shared" si="1"/>
        <v>12.393863385704378</v>
      </c>
      <c r="H28">
        <v>0.72996115368266168</v>
      </c>
    </row>
    <row r="29" spans="1:8" x14ac:dyDescent="0.2">
      <c r="A29" s="30">
        <v>38991</v>
      </c>
      <c r="B29" s="6">
        <v>10379146014</v>
      </c>
      <c r="C29" s="31">
        <v>240693.9</v>
      </c>
      <c r="D29" s="32">
        <v>1.760666667</v>
      </c>
      <c r="E29">
        <f t="shared" si="0"/>
        <v>23.06306443904527</v>
      </c>
      <c r="F29">
        <f t="shared" si="0"/>
        <v>12.391281280699719</v>
      </c>
      <c r="G29">
        <f t="shared" si="1"/>
        <v>12.391281280699719</v>
      </c>
      <c r="H29">
        <v>0.7091845580935543</v>
      </c>
    </row>
    <row r="30" spans="1:8" x14ac:dyDescent="0.2">
      <c r="A30" s="30">
        <v>39083</v>
      </c>
      <c r="B30" s="6">
        <v>11093677952</v>
      </c>
      <c r="C30" s="31">
        <v>237982.4</v>
      </c>
      <c r="D30" s="32">
        <v>1.746666667</v>
      </c>
      <c r="E30">
        <f t="shared" si="0"/>
        <v>23.129641229133405</v>
      </c>
      <c r="F30">
        <f t="shared" si="0"/>
        <v>12.379952000339374</v>
      </c>
      <c r="G30">
        <f t="shared" si="1"/>
        <v>12.379952000339374</v>
      </c>
      <c r="H30">
        <v>0.565692525396153</v>
      </c>
    </row>
    <row r="31" spans="1:8" x14ac:dyDescent="0.2">
      <c r="A31" s="30">
        <v>39173</v>
      </c>
      <c r="B31" s="6">
        <v>11235882083</v>
      </c>
      <c r="C31" s="31">
        <v>248459</v>
      </c>
      <c r="D31" s="32">
        <v>2.0596666670000001</v>
      </c>
      <c r="E31">
        <f t="shared" si="0"/>
        <v>23.142378251562317</v>
      </c>
      <c r="F31">
        <f t="shared" si="0"/>
        <v>12.423033120966846</v>
      </c>
      <c r="G31">
        <f t="shared" si="1"/>
        <v>12.423033120966846</v>
      </c>
      <c r="H31">
        <v>0.55770920985568073</v>
      </c>
    </row>
    <row r="32" spans="1:8" x14ac:dyDescent="0.2">
      <c r="A32" s="30">
        <v>39264</v>
      </c>
      <c r="B32" s="6">
        <v>10833021176</v>
      </c>
      <c r="C32" s="31">
        <v>255482.1</v>
      </c>
      <c r="D32" s="32">
        <v>2.1646666670000001</v>
      </c>
      <c r="E32">
        <f t="shared" si="0"/>
        <v>23.10586482267577</v>
      </c>
      <c r="F32">
        <f t="shared" si="0"/>
        <v>12.450907627463256</v>
      </c>
      <c r="G32">
        <f t="shared" si="1"/>
        <v>12.450907627463256</v>
      </c>
      <c r="H32">
        <v>0.7225441575725714</v>
      </c>
    </row>
    <row r="33" spans="1:8" x14ac:dyDescent="0.2">
      <c r="A33" s="30">
        <v>39356</v>
      </c>
      <c r="B33" s="6">
        <v>12308303246</v>
      </c>
      <c r="C33" s="31">
        <v>256675.3</v>
      </c>
      <c r="D33" s="32">
        <v>2.548666667</v>
      </c>
      <c r="E33">
        <f t="shared" si="0"/>
        <v>23.23353993222424</v>
      </c>
      <c r="F33">
        <f t="shared" si="0"/>
        <v>12.455567140959703</v>
      </c>
      <c r="G33">
        <f t="shared" si="1"/>
        <v>12.455567140959703</v>
      </c>
      <c r="H33">
        <v>0.7722663851665329</v>
      </c>
    </row>
    <row r="34" spans="1:8" x14ac:dyDescent="0.2">
      <c r="A34" s="30">
        <v>39448</v>
      </c>
      <c r="B34" s="6">
        <v>12430983635</v>
      </c>
      <c r="C34" s="31">
        <v>252636</v>
      </c>
      <c r="D34" s="32">
        <v>2.819</v>
      </c>
      <c r="E34">
        <f t="shared" ref="E34:F66" si="2">LN(B34)</f>
        <v>23.243457873288225</v>
      </c>
      <c r="F34">
        <f t="shared" si="2"/>
        <v>12.439704996558556</v>
      </c>
      <c r="G34">
        <f t="shared" si="1"/>
        <v>12.439704996558556</v>
      </c>
      <c r="H34">
        <v>0.93557034673689865</v>
      </c>
    </row>
    <row r="35" spans="1:8" x14ac:dyDescent="0.2">
      <c r="A35" s="30">
        <v>39539</v>
      </c>
      <c r="B35" s="6">
        <v>12561154011</v>
      </c>
      <c r="C35" s="31">
        <v>264201.7</v>
      </c>
      <c r="D35" s="32">
        <v>3.6603333330000001</v>
      </c>
      <c r="E35">
        <f t="shared" si="2"/>
        <v>23.253874873622458</v>
      </c>
      <c r="F35">
        <f t="shared" si="2"/>
        <v>12.484468105568965</v>
      </c>
      <c r="G35">
        <f t="shared" si="1"/>
        <v>12.484468105568965</v>
      </c>
      <c r="H35">
        <v>1.0363822121319755</v>
      </c>
    </row>
    <row r="36" spans="1:8" x14ac:dyDescent="0.2">
      <c r="A36" s="30">
        <v>39630</v>
      </c>
      <c r="B36" s="6">
        <v>11969009243</v>
      </c>
      <c r="C36" s="31">
        <v>273316.8</v>
      </c>
      <c r="D36" s="32">
        <v>3.5106666670000002</v>
      </c>
      <c r="E36">
        <f t="shared" si="2"/>
        <v>23.205586583082312</v>
      </c>
      <c r="F36">
        <f t="shared" si="2"/>
        <v>12.518386840937987</v>
      </c>
      <c r="G36">
        <f t="shared" si="1"/>
        <v>12.518386840937987</v>
      </c>
      <c r="H36">
        <v>1.2975542178564001</v>
      </c>
    </row>
    <row r="37" spans="1:8" x14ac:dyDescent="0.2">
      <c r="A37" s="30">
        <v>39722</v>
      </c>
      <c r="B37" s="6">
        <v>12085131886</v>
      </c>
      <c r="C37" s="31">
        <v>259314.9</v>
      </c>
      <c r="D37" s="32">
        <v>1.856666667</v>
      </c>
      <c r="E37">
        <f t="shared" si="2"/>
        <v>23.215241764240488</v>
      </c>
      <c r="F37">
        <f t="shared" si="2"/>
        <v>12.465798432274621</v>
      </c>
      <c r="G37">
        <f t="shared" si="1"/>
        <v>12.465798432274621</v>
      </c>
      <c r="H37">
        <v>1.255805953060902</v>
      </c>
    </row>
    <row r="38" spans="1:8" x14ac:dyDescent="0.2">
      <c r="A38" s="30">
        <v>39814</v>
      </c>
      <c r="B38" s="6">
        <v>12901611218</v>
      </c>
      <c r="C38" s="31">
        <v>246506.9</v>
      </c>
      <c r="D38" s="32">
        <v>1.3320000000000001</v>
      </c>
      <c r="E38">
        <f t="shared" si="2"/>
        <v>23.280618041134758</v>
      </c>
      <c r="F38">
        <f t="shared" si="2"/>
        <v>12.415145263959525</v>
      </c>
      <c r="G38">
        <f t="shared" si="1"/>
        <v>12.415145263959525</v>
      </c>
      <c r="H38">
        <v>0.61878276545061617</v>
      </c>
    </row>
    <row r="39" spans="1:8" x14ac:dyDescent="0.2">
      <c r="A39" s="30">
        <v>39904</v>
      </c>
      <c r="B39" s="6">
        <v>13217251230</v>
      </c>
      <c r="C39" s="31">
        <v>258381.4</v>
      </c>
      <c r="D39" s="32">
        <v>1.554</v>
      </c>
      <c r="E39">
        <f t="shared" si="2"/>
        <v>23.304788724637064</v>
      </c>
      <c r="F39">
        <f t="shared" si="2"/>
        <v>12.462192066875648</v>
      </c>
      <c r="G39">
        <f t="shared" si="1"/>
        <v>12.462192066875648</v>
      </c>
      <c r="H39">
        <v>0.28668157211819745</v>
      </c>
    </row>
    <row r="40" spans="1:8" x14ac:dyDescent="0.2">
      <c r="A40" s="30">
        <v>39995</v>
      </c>
      <c r="B40" s="6">
        <v>14705618701</v>
      </c>
      <c r="C40" s="31">
        <v>270139.09999999998</v>
      </c>
      <c r="D40" s="32">
        <v>1.782</v>
      </c>
      <c r="E40">
        <f t="shared" si="2"/>
        <v>23.411495482259728</v>
      </c>
      <c r="F40">
        <f t="shared" si="2"/>
        <v>12.506692290503372</v>
      </c>
      <c r="G40">
        <f t="shared" si="1"/>
        <v>12.506692290503372</v>
      </c>
      <c r="H40">
        <v>0.44083225194545572</v>
      </c>
    </row>
    <row r="41" spans="1:8" x14ac:dyDescent="0.2">
      <c r="A41" s="30">
        <v>40087</v>
      </c>
      <c r="B41" s="6">
        <v>16370172760</v>
      </c>
      <c r="C41" s="31">
        <v>273121.7</v>
      </c>
      <c r="D41" s="32">
        <v>1.9690000000000001</v>
      </c>
      <c r="E41">
        <f t="shared" si="2"/>
        <v>23.518726781725203</v>
      </c>
      <c r="F41">
        <f t="shared" si="2"/>
        <v>12.517672762379137</v>
      </c>
      <c r="G41">
        <f t="shared" si="1"/>
        <v>12.517672762379137</v>
      </c>
      <c r="H41">
        <v>0.5777363290486176</v>
      </c>
    </row>
    <row r="42" spans="1:8" x14ac:dyDescent="0.2">
      <c r="A42" s="30">
        <v>40179</v>
      </c>
      <c r="B42" s="6">
        <v>17145526472</v>
      </c>
      <c r="C42" s="31">
        <v>269207.90000000002</v>
      </c>
      <c r="D42" s="32">
        <v>2.0496666669999999</v>
      </c>
      <c r="E42">
        <f t="shared" si="2"/>
        <v>23.56500312941813</v>
      </c>
      <c r="F42">
        <f t="shared" si="2"/>
        <v>12.503239222533114</v>
      </c>
      <c r="G42">
        <f t="shared" si="1"/>
        <v>12.503239222533114</v>
      </c>
      <c r="H42">
        <v>0.67752579965698856</v>
      </c>
    </row>
    <row r="43" spans="1:8" x14ac:dyDescent="0.2">
      <c r="A43" s="30">
        <v>40269</v>
      </c>
      <c r="B43" s="6">
        <v>15160962955</v>
      </c>
      <c r="C43" s="31">
        <v>280389.59999999998</v>
      </c>
      <c r="D43" s="32">
        <v>2.1213333329999999</v>
      </c>
      <c r="E43">
        <f t="shared" si="2"/>
        <v>23.441989734602465</v>
      </c>
      <c r="F43">
        <f t="shared" si="2"/>
        <v>12.543935343583113</v>
      </c>
      <c r="G43">
        <f t="shared" si="1"/>
        <v>12.543935343583113</v>
      </c>
      <c r="H43">
        <v>0.717677178465851</v>
      </c>
    </row>
    <row r="44" spans="1:8" x14ac:dyDescent="0.2">
      <c r="A44" s="30">
        <v>40360</v>
      </c>
      <c r="B44" s="6">
        <v>18541796373</v>
      </c>
      <c r="C44" s="31">
        <v>288798</v>
      </c>
      <c r="D44" s="32">
        <v>2.0720000000000001</v>
      </c>
      <c r="E44">
        <f t="shared" si="2"/>
        <v>23.643293284137989</v>
      </c>
      <c r="F44">
        <f t="shared" si="2"/>
        <v>12.573482760769073</v>
      </c>
      <c r="G44">
        <f t="shared" si="1"/>
        <v>12.573482760769073</v>
      </c>
      <c r="H44">
        <v>0.75204482165029685</v>
      </c>
    </row>
    <row r="45" spans="1:8" x14ac:dyDescent="0.2">
      <c r="A45" s="30">
        <v>40452</v>
      </c>
      <c r="B45" s="6">
        <v>19013725245</v>
      </c>
      <c r="C45" s="31">
        <v>288660.5</v>
      </c>
      <c r="D45" s="32">
        <v>2.3413333330000001</v>
      </c>
      <c r="E45">
        <f t="shared" si="2"/>
        <v>23.668426936636845</v>
      </c>
      <c r="F45">
        <f t="shared" si="2"/>
        <v>12.573006536061675</v>
      </c>
      <c r="G45">
        <f t="shared" si="1"/>
        <v>12.573006536061675</v>
      </c>
      <c r="H45">
        <v>0.72851432439723662</v>
      </c>
    </row>
    <row r="46" spans="1:8" x14ac:dyDescent="0.2">
      <c r="A46" s="30">
        <v>40544</v>
      </c>
      <c r="B46" s="6">
        <v>20021767154</v>
      </c>
      <c r="C46" s="31">
        <v>283193.59999999998</v>
      </c>
      <c r="D46" s="32">
        <v>2.8610000000000002</v>
      </c>
      <c r="E46">
        <f t="shared" si="2"/>
        <v>23.72008587636854</v>
      </c>
      <c r="F46">
        <f t="shared" si="2"/>
        <v>12.553886041676288</v>
      </c>
      <c r="G46">
        <f t="shared" si="1"/>
        <v>12.553886041676288</v>
      </c>
      <c r="H46">
        <v>0.85072056752233682</v>
      </c>
    </row>
    <row r="47" spans="1:8" x14ac:dyDescent="0.2">
      <c r="A47" s="30">
        <v>40634</v>
      </c>
      <c r="B47" s="6">
        <v>19113363513</v>
      </c>
      <c r="C47" s="31">
        <v>293569.3</v>
      </c>
      <c r="D47" s="32">
        <v>3.1326666670000001</v>
      </c>
      <c r="E47">
        <f t="shared" si="2"/>
        <v>23.673653587717279</v>
      </c>
      <c r="F47">
        <f t="shared" si="2"/>
        <v>12.5898690062226</v>
      </c>
      <c r="G47">
        <f t="shared" si="1"/>
        <v>12.5898690062226</v>
      </c>
      <c r="H47">
        <v>1.0511712140679732</v>
      </c>
    </row>
    <row r="48" spans="1:8" x14ac:dyDescent="0.2">
      <c r="A48" s="30">
        <v>40725</v>
      </c>
      <c r="B48" s="6">
        <v>21131704102</v>
      </c>
      <c r="C48" s="31">
        <v>299013.8</v>
      </c>
      <c r="D48" s="32">
        <v>3.0289999999999999</v>
      </c>
      <c r="E48">
        <f t="shared" si="2"/>
        <v>23.774040313784365</v>
      </c>
      <c r="F48">
        <f t="shared" si="2"/>
        <v>12.608245005153922</v>
      </c>
      <c r="G48">
        <f t="shared" si="1"/>
        <v>12.608245005153922</v>
      </c>
      <c r="H48">
        <v>1.1418846121189199</v>
      </c>
    </row>
    <row r="49" spans="1:8" x14ac:dyDescent="0.2">
      <c r="A49" s="30">
        <v>40817</v>
      </c>
      <c r="B49" s="6">
        <v>20836764237</v>
      </c>
      <c r="C49" s="31">
        <v>296073.3</v>
      </c>
      <c r="D49" s="32">
        <v>2.9616666669999998</v>
      </c>
      <c r="E49">
        <f t="shared" si="2"/>
        <v>23.759984774837839</v>
      </c>
      <c r="F49">
        <f t="shared" si="2"/>
        <v>12.598362337784813</v>
      </c>
      <c r="G49">
        <f t="shared" si="1"/>
        <v>12.598362337784813</v>
      </c>
      <c r="H49">
        <v>1.1082325320451003</v>
      </c>
    </row>
    <row r="50" spans="1:8" x14ac:dyDescent="0.2">
      <c r="A50" s="30">
        <v>40909</v>
      </c>
      <c r="B50" s="6">
        <v>21545883080</v>
      </c>
      <c r="C50" s="31">
        <v>288028.3</v>
      </c>
      <c r="D50" s="32">
        <v>3.1833333330000002</v>
      </c>
      <c r="E50">
        <f t="shared" si="2"/>
        <v>23.7934505948744</v>
      </c>
      <c r="F50">
        <f t="shared" si="2"/>
        <v>12.570814018179393</v>
      </c>
      <c r="G50">
        <f t="shared" si="1"/>
        <v>12.570814018179393</v>
      </c>
      <c r="H50">
        <v>1.0857521730510542</v>
      </c>
    </row>
    <row r="51" spans="1:8" x14ac:dyDescent="0.2">
      <c r="A51" s="30">
        <v>41000</v>
      </c>
      <c r="B51" s="6">
        <v>20524622623</v>
      </c>
      <c r="C51" s="31">
        <v>296465.3</v>
      </c>
      <c r="D51" s="32">
        <v>2.959333333</v>
      </c>
      <c r="E51">
        <f t="shared" si="2"/>
        <v>23.744891105903939</v>
      </c>
      <c r="F51">
        <f t="shared" si="2"/>
        <v>12.599685458530661</v>
      </c>
      <c r="G51">
        <f t="shared" si="1"/>
        <v>12.599685458530661</v>
      </c>
      <c r="H51">
        <v>1.1579288657198172</v>
      </c>
    </row>
    <row r="52" spans="1:8" x14ac:dyDescent="0.2">
      <c r="A52" s="30">
        <v>41091</v>
      </c>
      <c r="B52" s="6">
        <v>22752084157</v>
      </c>
      <c r="C52" s="31">
        <v>306445.5</v>
      </c>
      <c r="D52" s="32">
        <v>3.0796666670000001</v>
      </c>
      <c r="E52">
        <f t="shared" si="2"/>
        <v>23.847922589444014</v>
      </c>
      <c r="F52">
        <f t="shared" si="2"/>
        <v>12.632795204518251</v>
      </c>
      <c r="G52">
        <f t="shared" si="1"/>
        <v>12.632795204518251</v>
      </c>
      <c r="H52">
        <v>1.0849640176310957</v>
      </c>
    </row>
    <row r="53" spans="1:8" x14ac:dyDescent="0.2">
      <c r="A53" s="30">
        <v>41183</v>
      </c>
      <c r="B53" s="6">
        <v>21949309910</v>
      </c>
      <c r="C53" s="31">
        <v>303424.2</v>
      </c>
      <c r="D53" s="32">
        <v>3.0036666670000001</v>
      </c>
      <c r="E53">
        <f t="shared" si="2"/>
        <v>23.812001536793417</v>
      </c>
      <c r="F53">
        <f t="shared" si="2"/>
        <v>12.622887105405214</v>
      </c>
      <c r="G53">
        <f t="shared" si="1"/>
        <v>12.622887105405214</v>
      </c>
      <c r="H53">
        <v>1.1248213661287352</v>
      </c>
    </row>
    <row r="54" spans="1:8" x14ac:dyDescent="0.2">
      <c r="A54" s="30">
        <v>41275</v>
      </c>
      <c r="B54" s="6">
        <v>21211084164</v>
      </c>
      <c r="C54" s="31">
        <v>295865.90000000002</v>
      </c>
      <c r="D54" s="32">
        <v>3.092666667</v>
      </c>
      <c r="E54">
        <f t="shared" si="2"/>
        <v>23.777789719916782</v>
      </c>
      <c r="F54">
        <f t="shared" si="2"/>
        <v>12.597661590111786</v>
      </c>
      <c r="G54">
        <f t="shared" si="1"/>
        <v>12.597661590111786</v>
      </c>
      <c r="H54">
        <v>1.0998337646957661</v>
      </c>
    </row>
    <row r="55" spans="1:8" x14ac:dyDescent="0.2">
      <c r="A55" s="30">
        <v>41365</v>
      </c>
      <c r="B55" s="6">
        <v>20802593053</v>
      </c>
      <c r="C55" s="31">
        <v>308388.7</v>
      </c>
      <c r="D55" s="32">
        <v>2.7673333329999998</v>
      </c>
      <c r="E55">
        <f t="shared" si="2"/>
        <v>23.758343481893139</v>
      </c>
      <c r="F55">
        <f t="shared" si="2"/>
        <v>12.639116279273694</v>
      </c>
      <c r="G55">
        <f t="shared" si="1"/>
        <v>12.639116279273694</v>
      </c>
      <c r="H55">
        <v>1.129033717769224</v>
      </c>
    </row>
    <row r="56" spans="1:8" x14ac:dyDescent="0.2">
      <c r="A56" s="30">
        <v>41456</v>
      </c>
      <c r="B56" s="6">
        <v>22507232071</v>
      </c>
      <c r="C56" s="31">
        <v>314900.2</v>
      </c>
      <c r="D56" s="32">
        <v>2.943666667</v>
      </c>
      <c r="E56">
        <f t="shared" si="2"/>
        <v>23.837102519888493</v>
      </c>
      <c r="F56">
        <f t="shared" si="2"/>
        <v>12.660011042211176</v>
      </c>
      <c r="G56">
        <f t="shared" si="1"/>
        <v>12.660011042211176</v>
      </c>
      <c r="H56">
        <v>1.0178841608422844</v>
      </c>
    </row>
    <row r="57" spans="1:8" x14ac:dyDescent="0.2">
      <c r="A57" s="30">
        <v>41548</v>
      </c>
      <c r="B57" s="6">
        <v>23218945849</v>
      </c>
      <c r="C57" s="31">
        <v>311097</v>
      </c>
      <c r="D57" s="32">
        <v>2.89</v>
      </c>
      <c r="E57">
        <f t="shared" si="2"/>
        <v>23.868234413779071</v>
      </c>
      <c r="F57">
        <f t="shared" si="2"/>
        <v>12.64786003963769</v>
      </c>
      <c r="G57">
        <f t="shared" si="1"/>
        <v>12.64786003963769</v>
      </c>
      <c r="H57">
        <v>1.0796559699317929</v>
      </c>
    </row>
    <row r="58" spans="1:8" x14ac:dyDescent="0.2">
      <c r="A58" s="30">
        <v>41640</v>
      </c>
      <c r="B58" s="6">
        <v>23387629921</v>
      </c>
      <c r="C58" s="31">
        <v>306130.2</v>
      </c>
      <c r="D58" s="32">
        <v>2.9253333330000002</v>
      </c>
      <c r="E58">
        <f t="shared" si="2"/>
        <v>23.87547308367817</v>
      </c>
      <c r="F58">
        <f t="shared" si="2"/>
        <v>12.631765780635313</v>
      </c>
      <c r="G58">
        <f t="shared" si="1"/>
        <v>12.631765780635313</v>
      </c>
      <c r="H58">
        <v>1.0612565021243408</v>
      </c>
    </row>
    <row r="59" spans="1:8" x14ac:dyDescent="0.2">
      <c r="A59" s="30">
        <v>41730</v>
      </c>
      <c r="B59" s="6">
        <v>20331801840</v>
      </c>
      <c r="C59" s="31">
        <v>307046.09999999998</v>
      </c>
      <c r="D59" s="32">
        <v>2.879666667</v>
      </c>
      <c r="E59">
        <f t="shared" si="2"/>
        <v>23.735452090270705</v>
      </c>
      <c r="F59">
        <f t="shared" si="2"/>
        <v>12.63475317816247</v>
      </c>
      <c r="G59">
        <f t="shared" si="1"/>
        <v>12.63475317816247</v>
      </c>
      <c r="H59">
        <v>1.0734084341908723</v>
      </c>
    </row>
    <row r="60" spans="1:8" x14ac:dyDescent="0.2">
      <c r="A60" s="30">
        <v>41821</v>
      </c>
      <c r="B60" s="6">
        <v>22608653155</v>
      </c>
      <c r="C60" s="31">
        <v>312888.7</v>
      </c>
      <c r="D60" s="32">
        <v>2.7949999999999999</v>
      </c>
      <c r="E60">
        <f t="shared" si="2"/>
        <v>23.841598552908277</v>
      </c>
      <c r="F60">
        <f t="shared" si="2"/>
        <v>12.653602815230487</v>
      </c>
      <c r="G60">
        <f t="shared" si="1"/>
        <v>12.653602815230487</v>
      </c>
      <c r="H60">
        <v>1.0576745468243915</v>
      </c>
    </row>
    <row r="61" spans="1:8" x14ac:dyDescent="0.2">
      <c r="A61" s="30">
        <v>41913</v>
      </c>
      <c r="B61" s="6">
        <v>22565546408</v>
      </c>
      <c r="C61" s="31">
        <v>310386.8</v>
      </c>
      <c r="D61" s="32">
        <v>2.1859999999999999</v>
      </c>
      <c r="E61">
        <f t="shared" si="2"/>
        <v>23.839690084778201</v>
      </c>
      <c r="F61">
        <f t="shared" si="2"/>
        <v>12.645574540613758</v>
      </c>
      <c r="G61">
        <f t="shared" si="1"/>
        <v>12.645574540613758</v>
      </c>
      <c r="H61">
        <v>1.0278321066070624</v>
      </c>
    </row>
    <row r="62" spans="1:8" x14ac:dyDescent="0.2">
      <c r="A62" s="30">
        <v>42005</v>
      </c>
      <c r="B62" s="6">
        <v>23237703471</v>
      </c>
      <c r="C62" s="31">
        <v>301174.2</v>
      </c>
      <c r="D62" s="32">
        <v>1.6303333330000001</v>
      </c>
      <c r="E62">
        <f t="shared" si="2"/>
        <v>23.869041946104105</v>
      </c>
      <c r="F62">
        <f t="shared" si="2"/>
        <v>12.615444113868556</v>
      </c>
      <c r="G62">
        <f t="shared" si="1"/>
        <v>12.615444113868556</v>
      </c>
      <c r="H62">
        <v>0.78207338975434681</v>
      </c>
    </row>
    <row r="63" spans="1:8" x14ac:dyDescent="0.2">
      <c r="A63" s="30">
        <v>42095</v>
      </c>
      <c r="B63" s="6">
        <v>20776623984</v>
      </c>
      <c r="C63" s="31">
        <v>298633.09999999998</v>
      </c>
      <c r="D63" s="32">
        <v>1.7609999999999999</v>
      </c>
      <c r="E63">
        <f t="shared" si="2"/>
        <v>23.757094344741102</v>
      </c>
      <c r="F63">
        <f t="shared" si="2"/>
        <v>12.606971008580052</v>
      </c>
      <c r="G63">
        <f t="shared" si="1"/>
        <v>12.606971008580052</v>
      </c>
      <c r="H63">
        <v>0.48878449268465329</v>
      </c>
    </row>
    <row r="64" spans="1:8" x14ac:dyDescent="0.2">
      <c r="A64" s="30">
        <v>42186</v>
      </c>
      <c r="B64" s="6">
        <v>23756271351</v>
      </c>
      <c r="C64" s="31">
        <v>299550.59999999998</v>
      </c>
      <c r="D64" s="32">
        <v>1.4443333330000001</v>
      </c>
      <c r="E64">
        <f t="shared" si="2"/>
        <v>23.891112389454388</v>
      </c>
      <c r="F64">
        <f t="shared" si="2"/>
        <v>12.610038630514572</v>
      </c>
      <c r="G64">
        <f t="shared" si="1"/>
        <v>12.610038630514572</v>
      </c>
      <c r="H64">
        <v>0.56588182951406907</v>
      </c>
    </row>
    <row r="65" spans="1:8" x14ac:dyDescent="0.2">
      <c r="A65" s="30">
        <v>42278</v>
      </c>
      <c r="B65" s="6">
        <v>24087039141</v>
      </c>
      <c r="C65" s="31">
        <v>293252.2</v>
      </c>
      <c r="D65" s="32">
        <v>1.2663333329999999</v>
      </c>
      <c r="E65">
        <f t="shared" si="2"/>
        <v>23.904939737800181</v>
      </c>
      <c r="F65">
        <f t="shared" si="2"/>
        <v>12.588788268618869</v>
      </c>
      <c r="G65">
        <f t="shared" si="1"/>
        <v>12.588788268618869</v>
      </c>
      <c r="H65">
        <v>0.36764785385887577</v>
      </c>
    </row>
    <row r="66" spans="1:8" x14ac:dyDescent="0.2">
      <c r="A66" s="30">
        <v>42370</v>
      </c>
      <c r="B66" s="6">
        <v>23179536314</v>
      </c>
      <c r="C66" s="31">
        <v>285693.3</v>
      </c>
      <c r="D66" s="32">
        <v>0.99066666699999995</v>
      </c>
      <c r="E66">
        <f t="shared" si="2"/>
        <v>23.866535670947844</v>
      </c>
      <c r="F66">
        <f t="shared" si="2"/>
        <v>12.562674136771323</v>
      </c>
      <c r="G66">
        <f t="shared" si="1"/>
        <v>12.562674136771323</v>
      </c>
      <c r="H66">
        <v>0.23612558527415162</v>
      </c>
    </row>
    <row r="67" spans="1:8" x14ac:dyDescent="0.2">
      <c r="A67" s="30">
        <v>42461</v>
      </c>
      <c r="B67" s="6">
        <v>21765360822</v>
      </c>
      <c r="C67" s="31">
        <v>289016.7</v>
      </c>
      <c r="D67" s="32">
        <v>1.276</v>
      </c>
      <c r="E67">
        <f t="shared" ref="E67:F81" si="3">LN(B67)</f>
        <v>23.803585589897338</v>
      </c>
      <c r="F67">
        <f t="shared" si="3"/>
        <v>12.574239750892181</v>
      </c>
      <c r="G67">
        <f t="shared" si="1"/>
        <v>12.574239750892181</v>
      </c>
      <c r="H67">
        <v>-9.3771614761232608E-3</v>
      </c>
    </row>
    <row r="68" spans="1:8" x14ac:dyDescent="0.2">
      <c r="A68" s="30">
        <v>42552</v>
      </c>
      <c r="B68" s="6">
        <v>23358114143</v>
      </c>
      <c r="C68" s="31">
        <v>292199.59999999998</v>
      </c>
      <c r="D68" s="32">
        <v>1.2953333330000001</v>
      </c>
      <c r="E68">
        <f t="shared" si="3"/>
        <v>23.874210261467788</v>
      </c>
      <c r="F68">
        <f t="shared" si="3"/>
        <v>12.585192409372405</v>
      </c>
      <c r="G68">
        <f t="shared" ref="G68:G81" si="4">F68</f>
        <v>12.585192409372405</v>
      </c>
      <c r="H68">
        <v>0.24373018492259815</v>
      </c>
    </row>
    <row r="69" spans="1:8" x14ac:dyDescent="0.2">
      <c r="A69" s="30">
        <v>42644</v>
      </c>
      <c r="B69" s="6">
        <v>24880415469</v>
      </c>
      <c r="C69" s="31">
        <v>286631.59999999998</v>
      </c>
      <c r="D69" s="32">
        <v>1.4346666669999999</v>
      </c>
      <c r="E69">
        <f t="shared" si="3"/>
        <v>23.937346803592757</v>
      </c>
      <c r="F69">
        <f t="shared" si="3"/>
        <v>12.565953046497802</v>
      </c>
      <c r="G69">
        <f t="shared" si="4"/>
        <v>12.565953046497802</v>
      </c>
      <c r="H69">
        <v>0.25876806202980468</v>
      </c>
    </row>
    <row r="70" spans="1:8" x14ac:dyDescent="0.2">
      <c r="A70" s="30">
        <v>42736</v>
      </c>
      <c r="B70" s="6">
        <v>24498833990</v>
      </c>
      <c r="C70" s="31">
        <v>286522.90000000002</v>
      </c>
      <c r="D70" s="32">
        <v>1.502</v>
      </c>
      <c r="E70">
        <f t="shared" si="3"/>
        <v>23.921891361119648</v>
      </c>
      <c r="F70">
        <f t="shared" si="3"/>
        <v>12.565573742134656</v>
      </c>
      <c r="G70">
        <f t="shared" si="4"/>
        <v>12.565573742134656</v>
      </c>
      <c r="H70">
        <v>0.36093253442371553</v>
      </c>
    </row>
    <row r="71" spans="1:8" x14ac:dyDescent="0.2">
      <c r="A71" s="30">
        <v>42826</v>
      </c>
      <c r="B71" s="6">
        <v>22280679309</v>
      </c>
      <c r="C71" s="31">
        <v>291312.90000000002</v>
      </c>
      <c r="D71" s="32">
        <v>1.405666667</v>
      </c>
      <c r="E71">
        <f t="shared" si="3"/>
        <v>23.826985741172653</v>
      </c>
      <c r="F71">
        <f t="shared" si="3"/>
        <v>12.582153226210057</v>
      </c>
      <c r="G71">
        <f t="shared" si="4"/>
        <v>12.582153226210057</v>
      </c>
      <c r="H71">
        <v>0.40679755334194301</v>
      </c>
    </row>
    <row r="72" spans="1:8" x14ac:dyDescent="0.2">
      <c r="A72" s="30">
        <v>42917</v>
      </c>
      <c r="B72" s="6">
        <v>24035207065</v>
      </c>
      <c r="C72" s="31">
        <v>296991.90000000002</v>
      </c>
      <c r="D72" s="32">
        <v>1.592666667</v>
      </c>
      <c r="E72">
        <f t="shared" si="3"/>
        <v>23.902785553399806</v>
      </c>
      <c r="F72">
        <f t="shared" si="3"/>
        <v>12.601460144685657</v>
      </c>
      <c r="G72">
        <f t="shared" si="4"/>
        <v>12.601460144685657</v>
      </c>
      <c r="H72">
        <v>0.34051168633344853</v>
      </c>
    </row>
    <row r="73" spans="1:8" x14ac:dyDescent="0.2">
      <c r="A73" s="30">
        <v>43009</v>
      </c>
      <c r="B73" s="6">
        <v>23464858858</v>
      </c>
      <c r="C73" s="31">
        <v>293973.3</v>
      </c>
      <c r="D73" s="32">
        <v>1.745333333</v>
      </c>
      <c r="E73">
        <f t="shared" si="3"/>
        <v>23.878769771173637</v>
      </c>
      <c r="F73">
        <f t="shared" si="3"/>
        <v>12.591244225870236</v>
      </c>
      <c r="G73">
        <f t="shared" si="4"/>
        <v>12.591244225870236</v>
      </c>
      <c r="H73">
        <v>0.4654097604448007</v>
      </c>
    </row>
    <row r="74" spans="1:8" x14ac:dyDescent="0.2">
      <c r="A74" s="30">
        <v>43101</v>
      </c>
      <c r="B74" s="6">
        <v>24023372586</v>
      </c>
      <c r="C74" s="31">
        <v>291881.8</v>
      </c>
      <c r="D74" s="32">
        <v>1.8863333330000001</v>
      </c>
      <c r="E74">
        <f t="shared" si="3"/>
        <v>23.902293051152544</v>
      </c>
      <c r="F74">
        <f t="shared" si="3"/>
        <v>12.584104204778452</v>
      </c>
      <c r="G74">
        <f t="shared" si="4"/>
        <v>12.584104204778452</v>
      </c>
      <c r="H74">
        <v>0.55694555918855837</v>
      </c>
    </row>
    <row r="75" spans="1:8" x14ac:dyDescent="0.2">
      <c r="A75" s="30">
        <v>43191</v>
      </c>
      <c r="B75" s="6">
        <v>21820572080</v>
      </c>
      <c r="C75" s="31">
        <v>295940</v>
      </c>
      <c r="D75" s="32">
        <v>2.0866666669999998</v>
      </c>
      <c r="E75">
        <f t="shared" si="3"/>
        <v>23.806119035156133</v>
      </c>
      <c r="F75">
        <f t="shared" si="3"/>
        <v>12.597912010056525</v>
      </c>
      <c r="G75">
        <f t="shared" si="4"/>
        <v>12.597912010056525</v>
      </c>
      <c r="H75">
        <v>0.63463490931556743</v>
      </c>
    </row>
    <row r="76" spans="1:8" x14ac:dyDescent="0.2">
      <c r="A76" s="30">
        <v>43282</v>
      </c>
      <c r="B76" s="6">
        <v>24919034805</v>
      </c>
      <c r="C76" s="31">
        <v>303107.20000000001</v>
      </c>
      <c r="D76" s="32">
        <v>2.1349999999999998</v>
      </c>
      <c r="E76">
        <f t="shared" si="3"/>
        <v>23.938897798373997</v>
      </c>
      <c r="F76">
        <f t="shared" si="3"/>
        <v>12.621841817300217</v>
      </c>
      <c r="G76">
        <f t="shared" si="4"/>
        <v>12.621841817300217</v>
      </c>
      <c r="H76">
        <v>0.73556789660364175</v>
      </c>
    </row>
    <row r="77" spans="1:8" x14ac:dyDescent="0.2">
      <c r="A77" s="30">
        <v>43374</v>
      </c>
      <c r="B77" s="6">
        <v>25107507288</v>
      </c>
      <c r="C77" s="31">
        <v>298719.59999999998</v>
      </c>
      <c r="D77" s="32">
        <v>1.963333333</v>
      </c>
      <c r="E77">
        <f t="shared" si="3"/>
        <v>23.946432733503556</v>
      </c>
      <c r="F77">
        <f t="shared" si="3"/>
        <v>12.607260619728054</v>
      </c>
      <c r="G77">
        <f t="shared" si="4"/>
        <v>12.607260619728054</v>
      </c>
      <c r="H77">
        <v>0.75846664668058783</v>
      </c>
    </row>
    <row r="78" spans="1:8" x14ac:dyDescent="0.2">
      <c r="A78" s="30">
        <v>43466</v>
      </c>
      <c r="B78" s="6">
        <v>25061242805</v>
      </c>
      <c r="C78" s="31">
        <v>294929.8</v>
      </c>
      <c r="D78" s="32">
        <v>1.8666666670000001</v>
      </c>
      <c r="E78">
        <f t="shared" si="3"/>
        <v>23.944588378361008</v>
      </c>
      <c r="F78">
        <f t="shared" si="3"/>
        <v>12.594492640901837</v>
      </c>
      <c r="G78">
        <f t="shared" si="4"/>
        <v>12.594492640901837</v>
      </c>
      <c r="H78">
        <v>0.67464370882560631</v>
      </c>
    </row>
    <row r="79" spans="1:8" x14ac:dyDescent="0.2">
      <c r="A79" s="30">
        <v>43556</v>
      </c>
      <c r="B79" s="6">
        <v>21259896674</v>
      </c>
      <c r="C79" s="31">
        <v>299767.59999999998</v>
      </c>
      <c r="D79" s="32">
        <v>1.9219999999999999</v>
      </c>
      <c r="E79">
        <f t="shared" si="3"/>
        <v>23.780088349735514</v>
      </c>
      <c r="F79">
        <f t="shared" si="3"/>
        <v>12.610762786762399</v>
      </c>
      <c r="G79">
        <f t="shared" si="4"/>
        <v>12.610762786762399</v>
      </c>
      <c r="H79">
        <v>0.62415430925156534</v>
      </c>
    </row>
    <row r="80" spans="1:8" x14ac:dyDescent="0.2">
      <c r="A80" s="30">
        <v>43647</v>
      </c>
      <c r="B80" s="6">
        <v>24555541656</v>
      </c>
      <c r="C80" s="31">
        <v>306442.40000000002</v>
      </c>
      <c r="D80" s="32">
        <v>1.862333333</v>
      </c>
      <c r="E80">
        <f t="shared" si="3"/>
        <v>23.924203395082536</v>
      </c>
      <c r="F80">
        <f t="shared" si="3"/>
        <v>12.632785088475822</v>
      </c>
      <c r="G80">
        <f t="shared" si="4"/>
        <v>12.632785088475822</v>
      </c>
      <c r="H80">
        <v>0.65336631054810068</v>
      </c>
    </row>
    <row r="81" spans="1:8" x14ac:dyDescent="0.2">
      <c r="A81" s="30">
        <v>43739</v>
      </c>
      <c r="B81" s="6">
        <v>25572691851</v>
      </c>
      <c r="C81" s="31">
        <v>303031.7</v>
      </c>
      <c r="D81" s="32">
        <v>1.8593333329999999</v>
      </c>
      <c r="E81">
        <f t="shared" si="3"/>
        <v>23.964790894506027</v>
      </c>
      <c r="F81">
        <f t="shared" si="3"/>
        <v>12.621592699481214</v>
      </c>
      <c r="G81">
        <f t="shared" si="4"/>
        <v>12.621592699481214</v>
      </c>
      <c r="H81">
        <v>0.6218301816299151</v>
      </c>
    </row>
    <row r="86" spans="1:8" x14ac:dyDescent="0.2">
      <c r="A86" t="s">
        <v>925</v>
      </c>
    </row>
    <row r="87" spans="1:8" ht="17" thickBot="1" x14ac:dyDescent="0.25"/>
    <row r="88" spans="1:8" x14ac:dyDescent="0.2">
      <c r="A88" s="38" t="s">
        <v>926</v>
      </c>
      <c r="B88" s="38"/>
    </row>
    <row r="89" spans="1:8" x14ac:dyDescent="0.2">
      <c r="A89" t="s">
        <v>927</v>
      </c>
      <c r="B89">
        <v>0.98152573126396925</v>
      </c>
    </row>
    <row r="90" spans="1:8" x14ac:dyDescent="0.2">
      <c r="A90" t="s">
        <v>928</v>
      </c>
      <c r="B90">
        <v>0.96339276113326955</v>
      </c>
    </row>
    <row r="91" spans="1:8" x14ac:dyDescent="0.2">
      <c r="A91" t="s">
        <v>929</v>
      </c>
      <c r="B91">
        <v>0.96244192376010773</v>
      </c>
    </row>
    <row r="92" spans="1:8" x14ac:dyDescent="0.2">
      <c r="A92" t="s">
        <v>930</v>
      </c>
      <c r="B92">
        <v>0.10054520427377478</v>
      </c>
    </row>
    <row r="93" spans="1:8" ht="17" thickBot="1" x14ac:dyDescent="0.25">
      <c r="A93" s="36" t="s">
        <v>931</v>
      </c>
      <c r="B93" s="36">
        <v>80</v>
      </c>
    </row>
    <row r="95" spans="1:8" ht="17" thickBot="1" x14ac:dyDescent="0.25">
      <c r="A95" t="s">
        <v>932</v>
      </c>
    </row>
    <row r="96" spans="1:8" x14ac:dyDescent="0.2">
      <c r="A96" s="37"/>
      <c r="B96" s="37" t="s">
        <v>933</v>
      </c>
      <c r="C96" s="37" t="s">
        <v>934</v>
      </c>
      <c r="D96" s="37" t="s">
        <v>935</v>
      </c>
      <c r="E96" s="37" t="s">
        <v>596</v>
      </c>
      <c r="F96" s="37" t="s">
        <v>936</v>
      </c>
    </row>
    <row r="97" spans="1:9" x14ac:dyDescent="0.2">
      <c r="A97" t="s">
        <v>937</v>
      </c>
      <c r="B97">
        <v>2</v>
      </c>
      <c r="C97">
        <v>20.485654903041809</v>
      </c>
      <c r="D97">
        <v>10.242827451520904</v>
      </c>
      <c r="E97">
        <v>1013.2045587666505</v>
      </c>
      <c r="F97">
        <v>4.9811367323818146E-56</v>
      </c>
    </row>
    <row r="98" spans="1:9" x14ac:dyDescent="0.2">
      <c r="A98" t="s">
        <v>938</v>
      </c>
      <c r="B98">
        <v>77</v>
      </c>
      <c r="C98">
        <v>0.77841903388904243</v>
      </c>
      <c r="D98">
        <v>1.0109338102455097E-2</v>
      </c>
    </row>
    <row r="99" spans="1:9" ht="17" thickBot="1" x14ac:dyDescent="0.25">
      <c r="A99" s="36" t="s">
        <v>939</v>
      </c>
      <c r="B99" s="36">
        <v>79</v>
      </c>
      <c r="C99" s="36">
        <v>21.264073936930853</v>
      </c>
      <c r="D99" s="36"/>
      <c r="E99" s="36"/>
      <c r="F99" s="36"/>
    </row>
    <row r="100" spans="1:9" ht="17" thickBot="1" x14ac:dyDescent="0.25"/>
    <row r="101" spans="1:9" x14ac:dyDescent="0.2">
      <c r="A101" s="37"/>
      <c r="B101" s="37" t="s">
        <v>940</v>
      </c>
      <c r="C101" s="37" t="s">
        <v>930</v>
      </c>
      <c r="D101" s="37" t="s">
        <v>941</v>
      </c>
      <c r="E101" s="37" t="s">
        <v>942</v>
      </c>
      <c r="F101" s="37" t="s">
        <v>943</v>
      </c>
      <c r="G101" s="37" t="s">
        <v>944</v>
      </c>
      <c r="H101" s="37" t="s">
        <v>945</v>
      </c>
      <c r="I101" s="37" t="s">
        <v>946</v>
      </c>
    </row>
    <row r="102" spans="1:9" x14ac:dyDescent="0.2">
      <c r="A102" t="s">
        <v>947</v>
      </c>
      <c r="B102">
        <v>-21.711507508217032</v>
      </c>
      <c r="C102">
        <v>1.4149659597721622</v>
      </c>
      <c r="D102">
        <v>-15.344190691140739</v>
      </c>
      <c r="E102">
        <v>3.963696077607886E-25</v>
      </c>
      <c r="F102">
        <v>-24.529064694938295</v>
      </c>
      <c r="G102">
        <v>-18.893950321495769</v>
      </c>
      <c r="H102">
        <v>-24.529064694938295</v>
      </c>
      <c r="I102">
        <v>-18.893950321495769</v>
      </c>
    </row>
    <row r="103" spans="1:9" x14ac:dyDescent="0.2">
      <c r="A103" t="s">
        <v>948</v>
      </c>
      <c r="B103">
        <v>3.6233619324080433</v>
      </c>
      <c r="C103">
        <v>0.11466776717778378</v>
      </c>
      <c r="D103">
        <v>31.5987833511251</v>
      </c>
      <c r="E103">
        <v>7.6939211494057696E-46</v>
      </c>
      <c r="F103">
        <v>3.3950292370059092</v>
      </c>
      <c r="G103">
        <v>3.8516946278101774</v>
      </c>
      <c r="H103">
        <v>3.3950292370059092</v>
      </c>
      <c r="I103">
        <v>3.8516946278101774</v>
      </c>
    </row>
    <row r="104" spans="1:9" ht="17" thickBot="1" x14ac:dyDescent="0.25">
      <c r="A104" s="36" t="s">
        <v>949</v>
      </c>
      <c r="B104" s="36">
        <v>-0.19331576597752181</v>
      </c>
      <c r="C104" s="36">
        <v>3.6856502990666867E-2</v>
      </c>
      <c r="D104" s="36">
        <v>-5.2450924610637903</v>
      </c>
      <c r="E104" s="36">
        <v>1.3336017310462254E-6</v>
      </c>
      <c r="F104" s="36">
        <v>-0.26670643955633233</v>
      </c>
      <c r="G104" s="36">
        <v>-0.11992509239871127</v>
      </c>
      <c r="H104" s="36">
        <v>-0.26670643955633233</v>
      </c>
      <c r="I104" s="36">
        <v>-0.11992509239871127</v>
      </c>
    </row>
    <row r="108" spans="1:9" x14ac:dyDescent="0.2">
      <c r="A108" t="s">
        <v>950</v>
      </c>
    </row>
    <row r="109" spans="1:9" ht="17" thickBot="1" x14ac:dyDescent="0.25"/>
    <row r="110" spans="1:9" x14ac:dyDescent="0.2">
      <c r="A110" s="37" t="s">
        <v>951</v>
      </c>
      <c r="B110" s="37" t="s">
        <v>952</v>
      </c>
      <c r="C110" s="37" t="s">
        <v>953</v>
      </c>
      <c r="D110" s="37" t="s">
        <v>954</v>
      </c>
    </row>
    <row r="111" spans="1:9" x14ac:dyDescent="0.2">
      <c r="A111">
        <v>1</v>
      </c>
      <c r="B111">
        <v>22.370032556440957</v>
      </c>
      <c r="C111">
        <v>0.19870789403196198</v>
      </c>
      <c r="D111">
        <v>2.0018057982736241</v>
      </c>
    </row>
    <row r="112" spans="1:9" x14ac:dyDescent="0.2">
      <c r="A112">
        <v>2</v>
      </c>
      <c r="B112">
        <v>22.464965939322173</v>
      </c>
      <c r="C112">
        <v>2.5365475473602572E-2</v>
      </c>
      <c r="D112">
        <v>0.2555346687477732</v>
      </c>
    </row>
    <row r="113" spans="1:4" x14ac:dyDescent="0.2">
      <c r="A113">
        <v>3</v>
      </c>
      <c r="B113">
        <v>22.597452848827928</v>
      </c>
      <c r="C113">
        <v>1.8116301459016881E-3</v>
      </c>
      <c r="D113">
        <v>1.825056698457066E-2</v>
      </c>
    </row>
    <row r="114" spans="1:4" x14ac:dyDescent="0.2">
      <c r="A114">
        <v>4</v>
      </c>
      <c r="B114">
        <v>22.556256775112171</v>
      </c>
      <c r="C114">
        <v>4.0022625633433506E-2</v>
      </c>
      <c r="D114">
        <v>0.40319245717663804</v>
      </c>
    </row>
    <row r="115" spans="1:4" x14ac:dyDescent="0.2">
      <c r="A115">
        <v>5</v>
      </c>
      <c r="B115">
        <v>22.419586737036699</v>
      </c>
      <c r="C115">
        <v>0.17151248834818844</v>
      </c>
      <c r="D115">
        <v>1.7278362056241003</v>
      </c>
    </row>
    <row r="116" spans="1:4" x14ac:dyDescent="0.2">
      <c r="A116">
        <v>6</v>
      </c>
      <c r="B116">
        <v>22.540085263487295</v>
      </c>
      <c r="C116">
        <v>-1.2028131620667182E-2</v>
      </c>
      <c r="D116">
        <v>-0.12117275832422121</v>
      </c>
    </row>
    <row r="117" spans="1:4" x14ac:dyDescent="0.2">
      <c r="A117">
        <v>7</v>
      </c>
      <c r="B117">
        <v>22.60643046888066</v>
      </c>
      <c r="C117">
        <v>2.5838687171216179E-2</v>
      </c>
      <c r="D117">
        <v>0.26030185690961571</v>
      </c>
    </row>
    <row r="118" spans="1:4" x14ac:dyDescent="0.2">
      <c r="A118">
        <v>8</v>
      </c>
      <c r="B118">
        <v>22.576317207789764</v>
      </c>
      <c r="C118">
        <v>6.3949859571742707E-2</v>
      </c>
      <c r="D118">
        <v>0.64423811803323439</v>
      </c>
    </row>
    <row r="119" spans="1:4" x14ac:dyDescent="0.2">
      <c r="A119">
        <v>9</v>
      </c>
      <c r="B119">
        <v>22.540552688835447</v>
      </c>
      <c r="C119">
        <v>0.10631830082891724</v>
      </c>
      <c r="D119">
        <v>1.0710625871143937</v>
      </c>
    </row>
    <row r="120" spans="1:4" x14ac:dyDescent="0.2">
      <c r="A120">
        <v>10</v>
      </c>
      <c r="B120">
        <v>22.690133475793424</v>
      </c>
      <c r="C120">
        <v>-8.7589411077452439E-2</v>
      </c>
      <c r="D120">
        <v>-0.88238563352703792</v>
      </c>
    </row>
    <row r="121" spans="1:4" x14ac:dyDescent="0.2">
      <c r="A121">
        <v>11</v>
      </c>
      <c r="B121">
        <v>22.787619331255446</v>
      </c>
      <c r="C121">
        <v>-0.10084185057828066</v>
      </c>
      <c r="D121">
        <v>-1.0158922079048087</v>
      </c>
    </row>
    <row r="122" spans="1:4" x14ac:dyDescent="0.2">
      <c r="A122">
        <v>12</v>
      </c>
      <c r="B122">
        <v>22.759053299900728</v>
      </c>
      <c r="C122">
        <v>-0.21352385043451605</v>
      </c>
      <c r="D122">
        <v>-2.1510634187526141</v>
      </c>
    </row>
    <row r="123" spans="1:4" x14ac:dyDescent="0.2">
      <c r="A123">
        <v>13</v>
      </c>
      <c r="B123">
        <v>22.574443449694513</v>
      </c>
      <c r="C123">
        <v>5.4843201813636E-2</v>
      </c>
      <c r="D123">
        <v>0.55249661781815362</v>
      </c>
    </row>
    <row r="124" spans="1:4" x14ac:dyDescent="0.2">
      <c r="A124">
        <v>14</v>
      </c>
      <c r="B124">
        <v>22.621052137474216</v>
      </c>
      <c r="C124">
        <v>-7.2417447150844083E-2</v>
      </c>
      <c r="D124">
        <v>-0.72954155298639434</v>
      </c>
    </row>
    <row r="125" spans="1:4" x14ac:dyDescent="0.2">
      <c r="A125">
        <v>15</v>
      </c>
      <c r="B125">
        <v>22.790209875308868</v>
      </c>
      <c r="C125">
        <v>-4.435091367949795E-2</v>
      </c>
      <c r="D125">
        <v>-0.44679612048060602</v>
      </c>
    </row>
    <row r="126" spans="1:4" x14ac:dyDescent="0.2">
      <c r="A126">
        <v>16</v>
      </c>
      <c r="B126">
        <v>22.76945182899675</v>
      </c>
      <c r="C126">
        <v>-0.12236025941308881</v>
      </c>
      <c r="D126">
        <v>-1.2326710922314308</v>
      </c>
    </row>
    <row r="127" spans="1:4" x14ac:dyDescent="0.2">
      <c r="A127">
        <v>17</v>
      </c>
      <c r="B127">
        <v>22.694863564608369</v>
      </c>
      <c r="C127">
        <v>-3.5249619121405118E-2</v>
      </c>
      <c r="D127">
        <v>-0.35510864974904116</v>
      </c>
    </row>
    <row r="128" spans="1:4" x14ac:dyDescent="0.2">
      <c r="A128">
        <v>18</v>
      </c>
      <c r="B128">
        <v>22.839792043169631</v>
      </c>
      <c r="C128">
        <v>-0.19185079188628507</v>
      </c>
      <c r="D128">
        <v>-1.9327265757221401</v>
      </c>
    </row>
    <row r="129" spans="1:4" x14ac:dyDescent="0.2">
      <c r="A129">
        <v>19</v>
      </c>
      <c r="B129">
        <v>22.954721207320194</v>
      </c>
      <c r="C129">
        <v>-0.22116920847394184</v>
      </c>
      <c r="D129">
        <v>-2.2280836203291989</v>
      </c>
    </row>
    <row r="130" spans="1:4" x14ac:dyDescent="0.2">
      <c r="A130">
        <v>20</v>
      </c>
      <c r="B130">
        <v>22.897471262522746</v>
      </c>
      <c r="C130">
        <v>-0.14218665003089015</v>
      </c>
      <c r="D130">
        <v>-1.4324043936732376</v>
      </c>
    </row>
    <row r="131" spans="1:4" x14ac:dyDescent="0.2">
      <c r="A131">
        <v>21</v>
      </c>
      <c r="B131">
        <v>22.750306998949576</v>
      </c>
      <c r="C131">
        <v>7.569636866168139E-2</v>
      </c>
      <c r="D131">
        <v>0.76257377913148372</v>
      </c>
    </row>
    <row r="132" spans="1:4" x14ac:dyDescent="0.2">
      <c r="A132">
        <v>22</v>
      </c>
      <c r="B132">
        <v>22.923967391140049</v>
      </c>
      <c r="C132">
        <v>-0.12385298686803381</v>
      </c>
      <c r="D132">
        <v>-1.247708997439517</v>
      </c>
    </row>
    <row r="133" spans="1:4" x14ac:dyDescent="0.2">
      <c r="A133">
        <v>23</v>
      </c>
      <c r="B133">
        <v>22.949998874054998</v>
      </c>
      <c r="C133">
        <v>3.2741686072228049E-2</v>
      </c>
      <c r="D133">
        <v>0.32984344856525133</v>
      </c>
    </row>
    <row r="134" spans="1:4" x14ac:dyDescent="0.2">
      <c r="A134">
        <v>24</v>
      </c>
      <c r="B134">
        <v>22.890404436769408</v>
      </c>
      <c r="C134">
        <v>8.4810830496351741E-2</v>
      </c>
      <c r="D134">
        <v>0.85439389849650504</v>
      </c>
    </row>
    <row r="135" spans="1:4" x14ac:dyDescent="0.2">
      <c r="A135">
        <v>25</v>
      </c>
      <c r="B135">
        <v>22.833836148192628</v>
      </c>
      <c r="C135">
        <v>0.18797432729422425</v>
      </c>
      <c r="D135">
        <v>1.8936746329948846</v>
      </c>
    </row>
    <row r="136" spans="1:4" x14ac:dyDescent="0.2">
      <c r="A136">
        <v>26</v>
      </c>
      <c r="B136">
        <v>22.95695800566078</v>
      </c>
      <c r="C136">
        <v>4.5243767322574513E-2</v>
      </c>
      <c r="D136">
        <v>0.45579082906240453</v>
      </c>
    </row>
    <row r="137" spans="1:4" x14ac:dyDescent="0.2">
      <c r="A137">
        <v>27</v>
      </c>
      <c r="B137">
        <v>23.054832279452075</v>
      </c>
      <c r="C137">
        <v>4.0916940393067591E-3</v>
      </c>
      <c r="D137">
        <v>4.1220188521188882E-2</v>
      </c>
    </row>
    <row r="138" spans="1:4" x14ac:dyDescent="0.2">
      <c r="A138">
        <v>28</v>
      </c>
      <c r="B138">
        <v>23.049492821963433</v>
      </c>
      <c r="C138">
        <v>1.3571617081836962E-2</v>
      </c>
      <c r="D138">
        <v>0.13672200542772944</v>
      </c>
    </row>
    <row r="139" spans="1:4" x14ac:dyDescent="0.2">
      <c r="A139">
        <v>29</v>
      </c>
      <c r="B139">
        <v>23.036182010996743</v>
      </c>
      <c r="C139">
        <v>9.3459218136661804E-2</v>
      </c>
      <c r="D139">
        <v>0.94151873371470707</v>
      </c>
    </row>
    <row r="140" spans="1:4" x14ac:dyDescent="0.2">
      <c r="A140">
        <v>30</v>
      </c>
      <c r="B140">
        <v>23.193823804242552</v>
      </c>
      <c r="C140">
        <v>-5.1445552680235096E-2</v>
      </c>
      <c r="D140">
        <v>-0.51826831617530456</v>
      </c>
    </row>
    <row r="141" spans="1:4" x14ac:dyDescent="0.2">
      <c r="A141">
        <v>31</v>
      </c>
      <c r="B141">
        <v>23.262958035788554</v>
      </c>
      <c r="C141">
        <v>-0.15709321311278401</v>
      </c>
      <c r="D141">
        <v>-1.5825747960874816</v>
      </c>
    </row>
    <row r="142" spans="1:4" x14ac:dyDescent="0.2">
      <c r="A142">
        <v>32</v>
      </c>
      <c r="B142">
        <v>23.270229049101683</v>
      </c>
      <c r="C142">
        <v>-3.6689116877443695E-2</v>
      </c>
      <c r="D142">
        <v>-0.36961031295008334</v>
      </c>
    </row>
    <row r="143" spans="1:4" x14ac:dyDescent="0.2">
      <c r="A143">
        <v>33</v>
      </c>
      <c r="B143">
        <v>23.181185528494069</v>
      </c>
      <c r="C143">
        <v>6.2272344794155998E-2</v>
      </c>
      <c r="D143">
        <v>0.62733864443747167</v>
      </c>
    </row>
    <row r="144" spans="1:4" x14ac:dyDescent="0.2">
      <c r="A144">
        <v>34</v>
      </c>
      <c r="B144">
        <v>23.323889950680144</v>
      </c>
      <c r="C144">
        <v>-7.001507705768617E-2</v>
      </c>
      <c r="D144">
        <v>-0.70533980496067616</v>
      </c>
    </row>
    <row r="145" spans="1:4" x14ac:dyDescent="0.2">
      <c r="A145">
        <v>35</v>
      </c>
      <c r="B145">
        <v>23.396301138873181</v>
      </c>
      <c r="C145">
        <v>-0.19071455579086916</v>
      </c>
      <c r="D145">
        <v>-1.921280004789002</v>
      </c>
    </row>
    <row r="146" spans="1:4" x14ac:dyDescent="0.2">
      <c r="A146">
        <v>36</v>
      </c>
      <c r="B146">
        <v>23.213824898623596</v>
      </c>
      <c r="C146">
        <v>1.416865616892693E-3</v>
      </c>
      <c r="D146">
        <v>1.4273664471599268E-2</v>
      </c>
    </row>
    <row r="147" spans="1:4" x14ac:dyDescent="0.2">
      <c r="A147">
        <v>37</v>
      </c>
      <c r="B147">
        <v>23.153436762253147</v>
      </c>
      <c r="C147">
        <v>0.12718127888161135</v>
      </c>
      <c r="D147">
        <v>1.2812385876129988</v>
      </c>
    </row>
    <row r="148" spans="1:4" x14ac:dyDescent="0.2">
      <c r="A148">
        <v>38</v>
      </c>
      <c r="B148">
        <v>23.388104753552035</v>
      </c>
      <c r="C148">
        <v>-8.3316028914971696E-2</v>
      </c>
      <c r="D148">
        <v>-0.839335098304129</v>
      </c>
    </row>
    <row r="149" spans="1:4" x14ac:dyDescent="0.2">
      <c r="A149">
        <v>39</v>
      </c>
      <c r="B149">
        <v>23.519545413081609</v>
      </c>
      <c r="C149">
        <v>-0.10804993082188119</v>
      </c>
      <c r="D149">
        <v>-1.0885072235102793</v>
      </c>
    </row>
    <row r="150" spans="1:4" x14ac:dyDescent="0.2">
      <c r="A150">
        <v>40</v>
      </c>
      <c r="B150">
        <v>23.532865920345493</v>
      </c>
      <c r="C150">
        <v>-1.4139138620290481E-2</v>
      </c>
      <c r="D150">
        <v>-0.14243928159260433</v>
      </c>
    </row>
    <row r="151" spans="1:4" x14ac:dyDescent="0.2">
      <c r="A151">
        <v>41</v>
      </c>
      <c r="B151">
        <v>23.461277103570367</v>
      </c>
      <c r="C151">
        <v>0.10372602584776303</v>
      </c>
      <c r="D151">
        <v>1.0449477157688221</v>
      </c>
    </row>
    <row r="152" spans="1:4" x14ac:dyDescent="0.2">
      <c r="A152">
        <v>42</v>
      </c>
      <c r="B152">
        <v>23.600971984830117</v>
      </c>
      <c r="C152">
        <v>-0.15898225022765189</v>
      </c>
      <c r="D152">
        <v>-1.6016051696321196</v>
      </c>
    </row>
    <row r="153" spans="1:4" x14ac:dyDescent="0.2">
      <c r="A153">
        <v>43</v>
      </c>
      <c r="B153">
        <v>23.701389164195657</v>
      </c>
      <c r="C153">
        <v>-5.8095880057667415E-2</v>
      </c>
      <c r="D153">
        <v>-0.58526446632533591</v>
      </c>
    </row>
    <row r="154" spans="1:4" x14ac:dyDescent="0.2">
      <c r="A154">
        <v>44</v>
      </c>
      <c r="B154">
        <v>23.704212445819905</v>
      </c>
      <c r="C154">
        <v>-3.5785509183060782E-2</v>
      </c>
      <c r="D154">
        <v>-0.36050726683914514</v>
      </c>
    </row>
    <row r="155" spans="1:4" x14ac:dyDescent="0.2">
      <c r="A155">
        <v>45</v>
      </c>
      <c r="B155">
        <v>23.611307580838112</v>
      </c>
      <c r="C155">
        <v>0.10877829553042773</v>
      </c>
      <c r="D155">
        <v>1.0958448519619794</v>
      </c>
    </row>
    <row r="156" spans="1:4" x14ac:dyDescent="0.2">
      <c r="A156">
        <v>46</v>
      </c>
      <c r="B156">
        <v>23.702936614512748</v>
      </c>
      <c r="C156">
        <v>-2.9283026795468459E-2</v>
      </c>
      <c r="D156">
        <v>-0.29500052383798026</v>
      </c>
    </row>
    <row r="157" spans="1:4" x14ac:dyDescent="0.2">
      <c r="A157">
        <v>47</v>
      </c>
      <c r="B157">
        <v>23.751983179481829</v>
      </c>
      <c r="C157">
        <v>2.205713430253553E-2</v>
      </c>
      <c r="D157">
        <v>0.22220606561817582</v>
      </c>
    </row>
    <row r="158" spans="1:4" x14ac:dyDescent="0.2">
      <c r="A158">
        <v>48</v>
      </c>
      <c r="B158">
        <v>23.722680176382156</v>
      </c>
      <c r="C158">
        <v>3.7304598455683902E-2</v>
      </c>
      <c r="D158">
        <v>0.37581074398003361</v>
      </c>
    </row>
    <row r="159" spans="1:4" x14ac:dyDescent="0.2">
      <c r="A159">
        <v>49</v>
      </c>
      <c r="B159">
        <v>23.627208451640449</v>
      </c>
      <c r="C159">
        <v>0.16624214323395137</v>
      </c>
      <c r="D159">
        <v>1.6747421528690254</v>
      </c>
    </row>
    <row r="160" spans="1:4" x14ac:dyDescent="0.2">
      <c r="A160">
        <v>50</v>
      </c>
      <c r="B160">
        <v>23.717867236914039</v>
      </c>
      <c r="C160">
        <v>2.7023868989900279E-2</v>
      </c>
      <c r="D160">
        <v>0.27224151259470236</v>
      </c>
    </row>
    <row r="161" spans="1:4" x14ac:dyDescent="0.2">
      <c r="A161">
        <v>51</v>
      </c>
      <c r="B161">
        <v>23.851941085614875</v>
      </c>
      <c r="C161">
        <v>-4.0184961708611411E-3</v>
      </c>
      <c r="D161">
        <v>-4.0482784915813551E-2</v>
      </c>
    </row>
    <row r="162" spans="1:4" x14ac:dyDescent="0.2">
      <c r="A162">
        <v>52</v>
      </c>
      <c r="B162">
        <v>23.808335402611515</v>
      </c>
      <c r="C162">
        <v>3.666134181901981E-3</v>
      </c>
      <c r="D162">
        <v>3.6933050387017143E-2</v>
      </c>
    </row>
    <row r="163" spans="1:4" x14ac:dyDescent="0.2">
      <c r="A163">
        <v>53</v>
      </c>
      <c r="B163">
        <v>23.721764728082885</v>
      </c>
      <c r="C163">
        <v>5.6024991833897531E-2</v>
      </c>
      <c r="D163">
        <v>0.56440210414232006</v>
      </c>
    </row>
    <row r="164" spans="1:4" x14ac:dyDescent="0.2">
      <c r="A164">
        <v>54</v>
      </c>
      <c r="B164">
        <v>23.866325259417046</v>
      </c>
      <c r="C164">
        <v>-0.10798177752390714</v>
      </c>
      <c r="D164">
        <v>-1.0878206394783738</v>
      </c>
    </row>
    <row r="165" spans="1:4" x14ac:dyDescent="0.2">
      <c r="A165">
        <v>55</v>
      </c>
      <c r="B165">
        <v>23.963521509766803</v>
      </c>
      <c r="C165">
        <v>-0.12641898987831013</v>
      </c>
      <c r="D165">
        <v>-1.2735592019791138</v>
      </c>
    </row>
    <row r="166" spans="1:4" x14ac:dyDescent="0.2">
      <c r="A166">
        <v>56</v>
      </c>
      <c r="B166">
        <v>23.907552565011493</v>
      </c>
      <c r="C166">
        <v>-3.9318151232421883E-2</v>
      </c>
      <c r="D166">
        <v>-0.39609550238503038</v>
      </c>
    </row>
    <row r="167" spans="1:4" x14ac:dyDescent="0.2">
      <c r="A167">
        <v>57</v>
      </c>
      <c r="B167">
        <v>23.852794146824735</v>
      </c>
      <c r="C167">
        <v>2.2678936853434806E-2</v>
      </c>
      <c r="D167">
        <v>0.22847017484159343</v>
      </c>
    </row>
    <row r="168" spans="1:4" x14ac:dyDescent="0.2">
      <c r="A168">
        <v>58</v>
      </c>
      <c r="B168">
        <v>23.861269409246059</v>
      </c>
      <c r="C168">
        <v>-0.1258173189753542</v>
      </c>
      <c r="D168">
        <v>-1.26749790125396</v>
      </c>
    </row>
    <row r="169" spans="1:4" x14ac:dyDescent="0.2">
      <c r="A169">
        <v>59</v>
      </c>
      <c r="B169">
        <v>23.932610075126078</v>
      </c>
      <c r="C169">
        <v>-9.1011522217801399E-2</v>
      </c>
      <c r="D169">
        <v>-0.91686036819452643</v>
      </c>
    </row>
    <row r="170" spans="1:4" x14ac:dyDescent="0.2">
      <c r="A170">
        <v>60</v>
      </c>
      <c r="B170">
        <v>23.909289744686159</v>
      </c>
      <c r="C170">
        <v>-6.95996599079578E-2</v>
      </c>
      <c r="D170">
        <v>-0.70115484561077335</v>
      </c>
    </row>
    <row r="171" spans="1:4" x14ac:dyDescent="0.2">
      <c r="A171">
        <v>61</v>
      </c>
      <c r="B171">
        <v>23.847625338004413</v>
      </c>
      <c r="C171">
        <v>2.1416608099691814E-2</v>
      </c>
      <c r="D171">
        <v>0.21575333220743123</v>
      </c>
    </row>
    <row r="172" spans="1:4" x14ac:dyDescent="0.2">
      <c r="A172">
        <v>62</v>
      </c>
      <c r="B172">
        <v>23.873621578642492</v>
      </c>
      <c r="C172">
        <v>-0.1165272339013903</v>
      </c>
      <c r="D172">
        <v>-1.1739085335133665</v>
      </c>
    </row>
    <row r="173" spans="1:4" x14ac:dyDescent="0.2">
      <c r="A173">
        <v>63</v>
      </c>
      <c r="B173">
        <v>23.869832552459044</v>
      </c>
      <c r="C173">
        <v>2.127983699534397E-2</v>
      </c>
      <c r="D173">
        <v>0.21437548463346537</v>
      </c>
    </row>
    <row r="174" spans="1:4" x14ac:dyDescent="0.2">
      <c r="A174">
        <v>64</v>
      </c>
      <c r="B174">
        <v>23.831156552962813</v>
      </c>
      <c r="C174">
        <v>7.3783184837367344E-2</v>
      </c>
      <c r="D174">
        <v>0.74330014890490026</v>
      </c>
    </row>
    <row r="175" spans="1:4" x14ac:dyDescent="0.2">
      <c r="A175">
        <v>65</v>
      </c>
      <c r="B175">
        <v>23.76196092982309</v>
      </c>
      <c r="C175">
        <v>0.10457474112475396</v>
      </c>
      <c r="D175">
        <v>1.0534977694586396</v>
      </c>
    </row>
    <row r="176" spans="1:4" x14ac:dyDescent="0.2">
      <c r="A176">
        <v>66</v>
      </c>
      <c r="B176">
        <v>23.851326887291144</v>
      </c>
      <c r="C176">
        <v>-4.7741297393805837E-2</v>
      </c>
      <c r="D176">
        <v>-0.48095122946979563</v>
      </c>
    </row>
    <row r="177" spans="1:4" x14ac:dyDescent="0.2">
      <c r="A177">
        <v>67</v>
      </c>
      <c r="B177">
        <v>23.842082692543446</v>
      </c>
      <c r="C177">
        <v>3.2127568924341432E-2</v>
      </c>
      <c r="D177">
        <v>0.32365676296099977</v>
      </c>
    </row>
    <row r="178" spans="1:4" x14ac:dyDescent="0.2">
      <c r="A178">
        <v>68</v>
      </c>
      <c r="B178">
        <v>23.769464458768169</v>
      </c>
      <c r="C178">
        <v>0.16788234482458719</v>
      </c>
      <c r="D178">
        <v>1.691265729199336</v>
      </c>
    </row>
    <row r="179" spans="1:4" x14ac:dyDescent="0.2">
      <c r="A179">
        <v>69</v>
      </c>
      <c r="B179">
        <v>23.748340098541433</v>
      </c>
      <c r="C179">
        <v>0.17355126257821496</v>
      </c>
      <c r="D179">
        <v>1.7483750478020637</v>
      </c>
    </row>
    <row r="180" spans="1:4" x14ac:dyDescent="0.2">
      <c r="A180">
        <v>70</v>
      </c>
      <c r="B180">
        <v>23.799547138735459</v>
      </c>
      <c r="C180">
        <v>2.7438602437193538E-2</v>
      </c>
      <c r="D180">
        <v>0.27641958424894736</v>
      </c>
    </row>
    <row r="181" spans="1:4" x14ac:dyDescent="0.2">
      <c r="A181">
        <v>71</v>
      </c>
      <c r="B181">
        <v>23.88231719532628</v>
      </c>
      <c r="C181">
        <v>2.046835807352565E-2</v>
      </c>
      <c r="D181">
        <v>0.20620055419707589</v>
      </c>
    </row>
    <row r="182" spans="1:4" x14ac:dyDescent="0.2">
      <c r="A182">
        <v>72</v>
      </c>
      <c r="B182">
        <v>23.821156457119962</v>
      </c>
      <c r="C182">
        <v>5.7613314053675424E-2</v>
      </c>
      <c r="D182">
        <v>0.58040304182306868</v>
      </c>
    </row>
    <row r="183" spans="1:4" x14ac:dyDescent="0.2">
      <c r="A183">
        <v>73</v>
      </c>
      <c r="B183">
        <v>23.77759026345089</v>
      </c>
      <c r="C183">
        <v>0.12470278770165422</v>
      </c>
      <c r="D183">
        <v>1.2562699871495961</v>
      </c>
    </row>
    <row r="184" spans="1:4" x14ac:dyDescent="0.2">
      <c r="A184">
        <v>74</v>
      </c>
      <c r="B184">
        <v>23.81260236323746</v>
      </c>
      <c r="C184">
        <v>-6.4833280813267891E-3</v>
      </c>
      <c r="D184">
        <v>-6.5313780353500286E-2</v>
      </c>
    </row>
    <row r="185" spans="1:4" x14ac:dyDescent="0.2">
      <c r="A185">
        <v>75</v>
      </c>
      <c r="B185">
        <v>23.879796778104119</v>
      </c>
      <c r="C185">
        <v>5.910102026987829E-2</v>
      </c>
      <c r="D185">
        <v>0.59539036250416644</v>
      </c>
    </row>
    <row r="186" spans="1:4" x14ac:dyDescent="0.2">
      <c r="A186">
        <v>76</v>
      </c>
      <c r="B186">
        <v>23.822537132481173</v>
      </c>
      <c r="C186">
        <v>0.12389560102238306</v>
      </c>
      <c r="D186">
        <v>1.2481382972500779</v>
      </c>
    </row>
    <row r="187" spans="1:4" x14ac:dyDescent="0.2">
      <c r="A187">
        <v>77</v>
      </c>
      <c r="B187">
        <v>23.79247841948639</v>
      </c>
      <c r="C187">
        <v>0.1521099588746182</v>
      </c>
      <c r="D187">
        <v>1.5323729292878296</v>
      </c>
    </row>
    <row r="188" spans="1:4" x14ac:dyDescent="0.2">
      <c r="A188">
        <v>78</v>
      </c>
      <c r="B188">
        <v>23.861191443584676</v>
      </c>
      <c r="C188">
        <v>-8.1103093849161922E-2</v>
      </c>
      <c r="D188">
        <v>-0.81704174016895348</v>
      </c>
    </row>
    <row r="189" spans="1:4" x14ac:dyDescent="0.2">
      <c r="A189">
        <v>79</v>
      </c>
      <c r="B189">
        <v>23.935339072870722</v>
      </c>
      <c r="C189">
        <v>-1.1135677788185916E-2</v>
      </c>
      <c r="D189">
        <v>-0.11218207747957819</v>
      </c>
    </row>
    <row r="190" spans="1:4" ht="17" thickBot="1" x14ac:dyDescent="0.25">
      <c r="A190" s="36">
        <v>80</v>
      </c>
      <c r="B190" s="36">
        <v>23.900881427572742</v>
      </c>
      <c r="C190" s="36">
        <v>6.3909466933285586E-2</v>
      </c>
      <c r="D190" s="36">
        <v>0.64383119802502364</v>
      </c>
    </row>
    <row r="193" spans="1:31" x14ac:dyDescent="0.2">
      <c r="J193" s="33"/>
      <c r="K193" s="33"/>
      <c r="L193" s="33"/>
      <c r="M193" s="33"/>
      <c r="N193" s="33"/>
      <c r="O193" s="33"/>
      <c r="P193" s="33"/>
      <c r="Q193" s="33"/>
      <c r="R193" s="33"/>
      <c r="S193" s="33"/>
      <c r="T193" s="33"/>
      <c r="U193" s="33"/>
      <c r="V193" s="33"/>
      <c r="W193" s="33"/>
      <c r="X193" s="33"/>
      <c r="Y193" s="33"/>
      <c r="Z193" s="33"/>
      <c r="AA193" s="33"/>
      <c r="AB193" s="33"/>
      <c r="AC193" s="33"/>
      <c r="AD193" s="33"/>
      <c r="AE193" s="33"/>
    </row>
    <row r="194" spans="1:31" x14ac:dyDescent="0.2">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row>
    <row r="195" spans="1:31" x14ac:dyDescent="0.2">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row>
    <row r="196" spans="1:31" x14ac:dyDescent="0.2">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row>
    <row r="197" spans="1:31" x14ac:dyDescent="0.2">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row>
    <row r="198" spans="1:31" x14ac:dyDescent="0.2">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row>
    <row r="199" spans="1:31" x14ac:dyDescent="0.2">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row>
    <row r="200" spans="1:31" x14ac:dyDescent="0.2">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row>
    <row r="201" spans="1:31" x14ac:dyDescent="0.2">
      <c r="A201" s="33"/>
      <c r="B201" s="33"/>
      <c r="C201" s="33"/>
      <c r="D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row>
    <row r="202" spans="1:31" x14ac:dyDescent="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row>
    <row r="203" spans="1:31" x14ac:dyDescent="0.2">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row>
    <row r="204" spans="1:31" x14ac:dyDescent="0.2">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row>
    <row r="214" spans="2:2" x14ac:dyDescent="0.2">
      <c r="B214" s="6"/>
    </row>
  </sheetData>
  <phoneticPr fontId="30"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C9FE1-9248-AD4F-B518-707E021871B7}">
  <sheetPr>
    <tabColor theme="4" tint="0.79998168889431442"/>
  </sheetPr>
  <dimension ref="A1:AG61"/>
  <sheetViews>
    <sheetView zoomScale="65" workbookViewId="0"/>
  </sheetViews>
  <sheetFormatPr baseColWidth="10" defaultColWidth="11.1640625" defaultRowHeight="16" x14ac:dyDescent="0.2"/>
  <cols>
    <col min="1" max="1" width="21.83203125" bestFit="1" customWidth="1"/>
    <col min="2" max="2" width="15" bestFit="1" customWidth="1"/>
    <col min="3" max="3" width="16.1640625" bestFit="1" customWidth="1"/>
    <col min="4" max="4" width="7.83203125" bestFit="1" customWidth="1"/>
    <col min="5" max="5" width="10.83203125" bestFit="1" customWidth="1"/>
    <col min="6" max="6" width="15.1640625" bestFit="1" customWidth="1"/>
    <col min="7" max="9" width="15" bestFit="1" customWidth="1"/>
    <col min="10" max="12" width="15.1640625" bestFit="1" customWidth="1"/>
    <col min="13" max="13" width="14.6640625" bestFit="1" customWidth="1"/>
    <col min="14" max="16" width="15.1640625" bestFit="1" customWidth="1"/>
    <col min="17" max="17" width="14.6640625" bestFit="1" customWidth="1"/>
    <col min="18" max="20" width="14.33203125" bestFit="1" customWidth="1"/>
    <col min="21" max="21" width="14.6640625" bestFit="1" customWidth="1"/>
    <col min="22" max="24" width="14.33203125" bestFit="1" customWidth="1"/>
    <col min="25" max="25" width="14.6640625" bestFit="1" customWidth="1"/>
    <col min="26" max="28" width="14.33203125" bestFit="1" customWidth="1"/>
    <col min="29" max="29" width="14.6640625" bestFit="1" customWidth="1"/>
    <col min="30" max="33" width="14.33203125" bestFit="1" customWidth="1"/>
  </cols>
  <sheetData>
    <row r="1" spans="1:33" ht="17" thickBot="1" x14ac:dyDescent="0.25">
      <c r="C1" s="46" t="str" cm="1">
        <f t="array" ref="C1:E2">TRANSPOSE('A1-jet Fuel'!C105:D107)</f>
        <v>q2-2021</v>
      </c>
      <c r="D1" s="46" t="str">
        <v>q3-2021</v>
      </c>
      <c r="E1" s="46" t="str">
        <v>q4-2021</v>
      </c>
      <c r="F1" s="46" t="s">
        <v>955</v>
      </c>
      <c r="G1" s="46" t="s">
        <v>916</v>
      </c>
      <c r="H1" s="46" t="s">
        <v>917</v>
      </c>
      <c r="I1" s="46" t="s">
        <v>956</v>
      </c>
      <c r="J1" s="47" t="s">
        <v>957</v>
      </c>
      <c r="K1" s="47" t="s">
        <v>958</v>
      </c>
      <c r="L1" s="47" t="s">
        <v>959</v>
      </c>
      <c r="M1" s="47" t="s">
        <v>960</v>
      </c>
      <c r="N1" s="47" t="s">
        <v>961</v>
      </c>
      <c r="O1" s="47" t="s">
        <v>962</v>
      </c>
      <c r="P1" s="47" t="s">
        <v>963</v>
      </c>
      <c r="Q1" s="47" t="s">
        <v>964</v>
      </c>
      <c r="R1" s="47" t="s">
        <v>965</v>
      </c>
      <c r="S1" s="47" t="s">
        <v>966</v>
      </c>
      <c r="T1" s="47" t="s">
        <v>967</v>
      </c>
      <c r="U1" s="47" t="s">
        <v>968</v>
      </c>
      <c r="V1" s="47" t="s">
        <v>969</v>
      </c>
      <c r="W1" s="47" t="s">
        <v>970</v>
      </c>
      <c r="X1" s="47" t="s">
        <v>971</v>
      </c>
      <c r="Y1" s="47" t="s">
        <v>972</v>
      </c>
      <c r="Z1" s="47" t="s">
        <v>973</v>
      </c>
      <c r="AA1" s="47" t="s">
        <v>974</v>
      </c>
      <c r="AB1" s="47" t="s">
        <v>975</v>
      </c>
      <c r="AC1" s="47" t="s">
        <v>976</v>
      </c>
      <c r="AD1" s="47" t="s">
        <v>977</v>
      </c>
      <c r="AE1" s="47" t="s">
        <v>978</v>
      </c>
      <c r="AF1" s="47" t="s">
        <v>979</v>
      </c>
      <c r="AG1" s="47" t="s">
        <v>980</v>
      </c>
    </row>
    <row r="2" spans="1:33" ht="17" thickTop="1" x14ac:dyDescent="0.2">
      <c r="A2" s="33" t="s">
        <v>32</v>
      </c>
      <c r="B2" s="33" t="s">
        <v>33</v>
      </c>
      <c r="C2" s="54">
        <v>1.7593333333333334</v>
      </c>
      <c r="D2" s="54">
        <v>1.9023333333333332</v>
      </c>
      <c r="E2" s="54">
        <v>2.1946666666666665</v>
      </c>
      <c r="F2" s="54">
        <f>'Forecast Drivers'!H10</f>
        <v>3.43</v>
      </c>
      <c r="G2" s="54">
        <f>F2</f>
        <v>3.43</v>
      </c>
      <c r="H2" s="54">
        <f>G2</f>
        <v>3.43</v>
      </c>
      <c r="I2" s="54">
        <f>4*'Forecast Drivers'!H10-SUM('Domestic, Brazil estimate'!F2:H2)</f>
        <v>3.4299999999999997</v>
      </c>
      <c r="J2" s="54">
        <f>'Forecast Drivers'!I10</f>
        <v>3.1</v>
      </c>
      <c r="K2" s="54">
        <f>J2</f>
        <v>3.1</v>
      </c>
      <c r="L2" s="54">
        <f>K2</f>
        <v>3.1</v>
      </c>
      <c r="M2" s="54">
        <f>L2</f>
        <v>3.1</v>
      </c>
      <c r="N2" s="54">
        <f>'Forecast Drivers'!J10</f>
        <v>2.38</v>
      </c>
      <c r="O2" s="54">
        <f t="shared" ref="O2:Y2" si="0">N2</f>
        <v>2.38</v>
      </c>
      <c r="P2" s="54">
        <f t="shared" si="0"/>
        <v>2.38</v>
      </c>
      <c r="Q2" s="54">
        <f t="shared" si="0"/>
        <v>2.38</v>
      </c>
      <c r="R2" s="54">
        <f>'Forecast Drivers'!K10</f>
        <v>2.38</v>
      </c>
      <c r="S2" s="54">
        <f t="shared" ref="S2:U2" si="1">R2</f>
        <v>2.38</v>
      </c>
      <c r="T2" s="54">
        <f t="shared" si="1"/>
        <v>2.38</v>
      </c>
      <c r="U2" s="54">
        <f t="shared" si="1"/>
        <v>2.38</v>
      </c>
      <c r="V2" s="54">
        <f>'Forecast Drivers'!L10</f>
        <v>2.38</v>
      </c>
      <c r="W2" s="54">
        <f t="shared" si="0"/>
        <v>2.38</v>
      </c>
      <c r="X2" s="54">
        <f t="shared" si="0"/>
        <v>2.38</v>
      </c>
      <c r="Y2" s="54">
        <f t="shared" si="0"/>
        <v>2.38</v>
      </c>
      <c r="Z2" s="54">
        <f>'Forecast Drivers'!M10</f>
        <v>2.38</v>
      </c>
      <c r="AA2" s="54">
        <f t="shared" ref="AA2:AC2" si="2">Z2</f>
        <v>2.38</v>
      </c>
      <c r="AB2" s="54">
        <f t="shared" si="2"/>
        <v>2.38</v>
      </c>
      <c r="AC2" s="54">
        <f t="shared" si="2"/>
        <v>2.38</v>
      </c>
      <c r="AD2" s="54">
        <f>AC2</f>
        <v>2.38</v>
      </c>
      <c r="AE2" s="54">
        <f t="shared" ref="AE2:AG2" si="3">AD2</f>
        <v>2.38</v>
      </c>
      <c r="AF2" s="54">
        <f t="shared" si="3"/>
        <v>2.38</v>
      </c>
      <c r="AG2" s="54">
        <f t="shared" si="3"/>
        <v>2.38</v>
      </c>
    </row>
    <row r="3" spans="1:33" x14ac:dyDescent="0.2">
      <c r="A3" s="45" t="s">
        <v>981</v>
      </c>
      <c r="B3" s="45"/>
      <c r="C3" s="57">
        <f>LN(C2)</f>
        <v>0.56493494941302269</v>
      </c>
      <c r="D3" s="57">
        <f t="shared" ref="D3:AC3" si="4">LN(D2)</f>
        <v>0.64308120288646131</v>
      </c>
      <c r="E3" s="57">
        <f>LN(E2)</f>
        <v>0.78603017470665892</v>
      </c>
      <c r="F3" s="57">
        <f t="shared" si="4"/>
        <v>1.2325602611778486</v>
      </c>
      <c r="G3" s="57">
        <f t="shared" si="4"/>
        <v>1.2325602611778486</v>
      </c>
      <c r="H3" s="57">
        <f t="shared" si="4"/>
        <v>1.2325602611778486</v>
      </c>
      <c r="I3" s="57">
        <f t="shared" si="4"/>
        <v>1.2325602611778486</v>
      </c>
      <c r="J3" s="57">
        <f t="shared" si="4"/>
        <v>1.1314021114911006</v>
      </c>
      <c r="K3" s="57">
        <f t="shared" si="4"/>
        <v>1.1314021114911006</v>
      </c>
      <c r="L3" s="57">
        <f t="shared" si="4"/>
        <v>1.1314021114911006</v>
      </c>
      <c r="M3" s="57">
        <f t="shared" si="4"/>
        <v>1.1314021114911006</v>
      </c>
      <c r="N3" s="57">
        <f t="shared" si="4"/>
        <v>0.86710048768338333</v>
      </c>
      <c r="O3" s="57">
        <f t="shared" si="4"/>
        <v>0.86710048768338333</v>
      </c>
      <c r="P3" s="57">
        <f t="shared" si="4"/>
        <v>0.86710048768338333</v>
      </c>
      <c r="Q3" s="57">
        <f t="shared" si="4"/>
        <v>0.86710048768338333</v>
      </c>
      <c r="R3" s="57">
        <f t="shared" si="4"/>
        <v>0.86710048768338333</v>
      </c>
      <c r="S3" s="57">
        <f t="shared" si="4"/>
        <v>0.86710048768338333</v>
      </c>
      <c r="T3" s="57">
        <f t="shared" si="4"/>
        <v>0.86710048768338333</v>
      </c>
      <c r="U3" s="57">
        <f t="shared" si="4"/>
        <v>0.86710048768338333</v>
      </c>
      <c r="V3" s="57">
        <f t="shared" si="4"/>
        <v>0.86710048768338333</v>
      </c>
      <c r="W3" s="57">
        <f t="shared" si="4"/>
        <v>0.86710048768338333</v>
      </c>
      <c r="X3" s="57">
        <f t="shared" si="4"/>
        <v>0.86710048768338333</v>
      </c>
      <c r="Y3" s="57">
        <f t="shared" si="4"/>
        <v>0.86710048768338333</v>
      </c>
      <c r="Z3" s="57">
        <f t="shared" si="4"/>
        <v>0.86710048768338333</v>
      </c>
      <c r="AA3" s="57">
        <f t="shared" si="4"/>
        <v>0.86710048768338333</v>
      </c>
      <c r="AB3" s="57">
        <f t="shared" si="4"/>
        <v>0.86710048768338333</v>
      </c>
      <c r="AC3" s="57">
        <f t="shared" si="4"/>
        <v>0.86710048768338333</v>
      </c>
      <c r="AD3" s="57">
        <f>LN(AD2)</f>
        <v>0.86710048768338333</v>
      </c>
      <c r="AE3" s="57">
        <f t="shared" ref="AE3" si="5">LN(AE2)</f>
        <v>0.86710048768338333</v>
      </c>
      <c r="AF3" s="57">
        <f t="shared" ref="AF3" si="6">LN(AF2)</f>
        <v>0.86710048768338333</v>
      </c>
      <c r="AG3" s="57">
        <f t="shared" ref="AG3" si="7">LN(AG2)</f>
        <v>0.86710048768338333</v>
      </c>
    </row>
    <row r="4" spans="1:33" x14ac:dyDescent="0.2">
      <c r="A4" s="33"/>
      <c r="B4" s="33"/>
      <c r="C4" s="54"/>
      <c r="D4" s="54"/>
      <c r="E4" s="54"/>
      <c r="F4" s="54"/>
      <c r="G4" s="54"/>
      <c r="H4" s="54"/>
      <c r="I4" s="54"/>
      <c r="J4" s="54"/>
      <c r="K4" s="54"/>
      <c r="L4" s="54"/>
      <c r="M4" s="54"/>
      <c r="N4" s="54"/>
      <c r="O4" s="54"/>
      <c r="P4" s="54"/>
      <c r="Q4" s="54"/>
      <c r="R4" s="54"/>
      <c r="S4" s="54"/>
      <c r="T4" s="54"/>
      <c r="U4" s="54"/>
      <c r="V4" s="54"/>
      <c r="W4" s="54"/>
      <c r="X4" s="54"/>
      <c r="Y4" s="54"/>
      <c r="Z4" s="54"/>
      <c r="AA4" s="54"/>
      <c r="AB4" s="54"/>
      <c r="AC4" s="54"/>
      <c r="AD4" s="54"/>
      <c r="AE4" s="54"/>
      <c r="AF4" s="54"/>
      <c r="AG4" s="54"/>
    </row>
    <row r="5" spans="1:33" x14ac:dyDescent="0.2">
      <c r="A5" s="33" t="s">
        <v>982</v>
      </c>
      <c r="B5" s="33"/>
      <c r="C5" s="54"/>
      <c r="D5" s="54"/>
      <c r="E5" s="54">
        <f>'Real GDP Brazil'!B118</f>
        <v>310255.09999999998</v>
      </c>
      <c r="F5" s="54">
        <f>E5*(1+'Forecast Drivers'!$H$9/4)</f>
        <v>311030.73774999997</v>
      </c>
      <c r="G5" s="54">
        <f>F5*(1+'Forecast Drivers'!$H$9/4)</f>
        <v>311808.31459437497</v>
      </c>
      <c r="H5" s="54">
        <f>G5*(1+'Forecast Drivers'!$H$9/4)</f>
        <v>312587.8353808609</v>
      </c>
      <c r="I5" s="54">
        <f>H5*(1+'Forecast Drivers'!$H$9/4)</f>
        <v>313369.30496931303</v>
      </c>
      <c r="J5" s="54">
        <f>I5*(1+'Forecast Drivers'!$I$9/4)</f>
        <v>314152.72823173628</v>
      </c>
      <c r="K5" s="54">
        <f>J5*(1+'Forecast Drivers'!$I$9/4)</f>
        <v>314938.11005231563</v>
      </c>
      <c r="L5" s="54">
        <f>K5*(1+'Forecast Drivers'!$I$9/4)</f>
        <v>315725.4553274464</v>
      </c>
      <c r="M5" s="54">
        <f>L5*(1+'Forecast Drivers'!$I$9/4)</f>
        <v>316514.76896576502</v>
      </c>
      <c r="N5" s="54">
        <f>M5*(1+'Forecast Drivers'!$J$9/4)</f>
        <v>317306.0558881794</v>
      </c>
      <c r="O5" s="54">
        <f>N5*(1+'Forecast Drivers'!$J$9/4)</f>
        <v>318099.3210278998</v>
      </c>
      <c r="P5" s="54">
        <f>O5*(1+'Forecast Drivers'!$J$9/4)</f>
        <v>318894.56933046953</v>
      </c>
      <c r="Q5" s="54">
        <f>P5*(1+'Forecast Drivers'!$J$9/4)</f>
        <v>319691.80575379566</v>
      </c>
      <c r="R5" s="54">
        <f>Q5*(1+'Forecast Drivers'!$K$9/4)</f>
        <v>320491.03526818013</v>
      </c>
      <c r="S5" s="54">
        <f>R5*(1+'Forecast Drivers'!$K$9/4)</f>
        <v>321292.26285635057</v>
      </c>
      <c r="T5" s="54">
        <f>S5*(1+'Forecast Drivers'!$K$9/4)</f>
        <v>322095.49351349141</v>
      </c>
      <c r="U5" s="54">
        <f>T5*(1+'Forecast Drivers'!$K$9/4)</f>
        <v>322900.73224727513</v>
      </c>
      <c r="V5" s="54">
        <f>U5*(1+'Forecast Drivers'!$L$9/4)</f>
        <v>323707.98407789331</v>
      </c>
      <c r="W5" s="54">
        <f>V5*(1+'Forecast Drivers'!$L$9/4)</f>
        <v>324517.25403808802</v>
      </c>
      <c r="X5" s="54">
        <f>W5*(1+'Forecast Drivers'!$L$9/4)</f>
        <v>325328.54717318324</v>
      </c>
      <c r="Y5" s="54">
        <f>X5*(1+'Forecast Drivers'!$L$9/4)</f>
        <v>326141.86854111619</v>
      </c>
      <c r="Z5" s="54">
        <f>Y5*(1+'Forecast Drivers'!$M$9/4)</f>
        <v>326957.22321246896</v>
      </c>
      <c r="AA5" s="54">
        <f>Z5*(1+'Forecast Drivers'!$M$9/4)</f>
        <v>327774.61627050012</v>
      </c>
      <c r="AB5" s="54">
        <f>AA5*(1+'Forecast Drivers'!$M$9/4)</f>
        <v>328594.05281117634</v>
      </c>
      <c r="AC5" s="54">
        <f>AB5*(1+'Forecast Drivers'!$M$9/4)</f>
        <v>329415.53794320428</v>
      </c>
      <c r="AD5" s="54">
        <f>AC5*(1+'Forecast Drivers'!$M$9/4)</f>
        <v>330239.07678806229</v>
      </c>
      <c r="AE5" s="54">
        <f>AD5*(1+'Forecast Drivers'!$M$9/4)</f>
        <v>331064.67448003241</v>
      </c>
      <c r="AF5" s="54">
        <f>AE5*(1+'Forecast Drivers'!$M$9/4)</f>
        <v>331892.33616623248</v>
      </c>
      <c r="AG5" s="54">
        <f>AF5*(1+'Forecast Drivers'!$M$9/4)</f>
        <v>332722.06700664805</v>
      </c>
    </row>
    <row r="6" spans="1:33" x14ac:dyDescent="0.2">
      <c r="A6" s="45" t="s">
        <v>983</v>
      </c>
      <c r="B6" s="45"/>
      <c r="C6" s="57"/>
      <c r="D6" s="57"/>
      <c r="E6" s="57">
        <f>LN(E5)</f>
        <v>12.64515014128791</v>
      </c>
      <c r="F6" s="57">
        <f t="shared" ref="F6:AC6" si="8">LN(F5)</f>
        <v>12.647647021486497</v>
      </c>
      <c r="G6" s="57">
        <f t="shared" si="8"/>
        <v>12.650143901685084</v>
      </c>
      <c r="H6" s="57">
        <f t="shared" si="8"/>
        <v>12.652640781883671</v>
      </c>
      <c r="I6" s="57">
        <f t="shared" si="8"/>
        <v>12.655137662082259</v>
      </c>
      <c r="J6" s="57">
        <f t="shared" si="8"/>
        <v>12.657634542280846</v>
      </c>
      <c r="K6" s="57">
        <f t="shared" si="8"/>
        <v>12.660131422479433</v>
      </c>
      <c r="L6" s="57">
        <f t="shared" si="8"/>
        <v>12.662628302678019</v>
      </c>
      <c r="M6" s="57">
        <f t="shared" si="8"/>
        <v>12.665125182876608</v>
      </c>
      <c r="N6" s="57">
        <f t="shared" si="8"/>
        <v>12.667622063075195</v>
      </c>
      <c r="O6" s="57">
        <f t="shared" si="8"/>
        <v>12.670118943273781</v>
      </c>
      <c r="P6" s="57">
        <f t="shared" si="8"/>
        <v>12.672615823472368</v>
      </c>
      <c r="Q6" s="57">
        <f t="shared" si="8"/>
        <v>12.675112703670955</v>
      </c>
      <c r="R6" s="57">
        <f t="shared" si="8"/>
        <v>12.677609583869543</v>
      </c>
      <c r="S6" s="57">
        <f t="shared" si="8"/>
        <v>12.68010646406813</v>
      </c>
      <c r="T6" s="57">
        <f t="shared" si="8"/>
        <v>12.682603344266717</v>
      </c>
      <c r="U6" s="57">
        <f t="shared" si="8"/>
        <v>12.685100224465303</v>
      </c>
      <c r="V6" s="57">
        <f t="shared" si="8"/>
        <v>12.68759710466389</v>
      </c>
      <c r="W6" s="57">
        <f t="shared" si="8"/>
        <v>12.690093984862479</v>
      </c>
      <c r="X6" s="57">
        <f t="shared" si="8"/>
        <v>12.692590865061065</v>
      </c>
      <c r="Y6" s="57">
        <f t="shared" si="8"/>
        <v>12.695087745259652</v>
      </c>
      <c r="Z6" s="57">
        <f t="shared" si="8"/>
        <v>12.697584625458239</v>
      </c>
      <c r="AA6" s="57">
        <f t="shared" si="8"/>
        <v>12.700081505656827</v>
      </c>
      <c r="AB6" s="57">
        <f t="shared" si="8"/>
        <v>12.702578385855414</v>
      </c>
      <c r="AC6" s="57">
        <f t="shared" si="8"/>
        <v>12.705075266054001</v>
      </c>
      <c r="AD6" s="57">
        <f t="shared" ref="AD6" si="9">LN(AD5)</f>
        <v>12.707572146252588</v>
      </c>
      <c r="AE6" s="57">
        <f t="shared" ref="AE6" si="10">LN(AE5)</f>
        <v>12.710069026451176</v>
      </c>
      <c r="AF6" s="57">
        <f t="shared" ref="AF6" si="11">LN(AF5)</f>
        <v>12.712565906649763</v>
      </c>
      <c r="AG6" s="57">
        <f t="shared" ref="AG6" si="12">LN(AG5)</f>
        <v>12.71506278684835</v>
      </c>
    </row>
    <row r="7" spans="1:33" x14ac:dyDescent="0.2">
      <c r="A7" s="33"/>
      <c r="B7" s="33"/>
      <c r="C7" s="54"/>
      <c r="D7" s="54"/>
      <c r="E7" s="54"/>
      <c r="F7" s="54"/>
      <c r="G7" s="54"/>
      <c r="H7" s="54"/>
      <c r="I7" s="54"/>
      <c r="J7" s="54"/>
      <c r="K7" s="54"/>
      <c r="L7" s="54"/>
      <c r="M7" s="54"/>
      <c r="N7" s="54"/>
      <c r="O7" s="54"/>
      <c r="P7" s="54"/>
      <c r="Q7" s="54"/>
      <c r="R7" s="54"/>
      <c r="S7" s="54"/>
      <c r="T7" s="54"/>
      <c r="U7" s="54"/>
      <c r="V7" s="54"/>
      <c r="W7" s="54"/>
      <c r="X7" s="54"/>
      <c r="Y7" s="54"/>
      <c r="Z7" s="54"/>
      <c r="AA7" s="54"/>
      <c r="AB7" s="54"/>
      <c r="AC7" s="54"/>
      <c r="AD7" s="54"/>
      <c r="AE7" s="54"/>
      <c r="AF7" s="54"/>
      <c r="AG7" s="54"/>
    </row>
    <row r="8" spans="1:33" x14ac:dyDescent="0.2">
      <c r="A8" s="45" t="s">
        <v>984</v>
      </c>
      <c r="B8" s="45"/>
      <c r="C8" s="57"/>
      <c r="D8" s="57"/>
      <c r="E8" s="58"/>
      <c r="F8" s="57">
        <f>'Regression_Brazil '!$B$102+E6*'Regression_Brazil '!$B$103+'Domestic, Brazil estimate'!E3*'Regression_Brazil '!$B$104</f>
        <v>23.954496118004908</v>
      </c>
      <c r="G8" s="57">
        <f>'Regression_Brazil '!$B$102+F6*'Regression_Brazil '!$B$103+'Domestic, Brazil estimate'!F3*'Regression_Brazil '!$B$104</f>
        <v>23.877221912968068</v>
      </c>
      <c r="H8" s="57">
        <f>'Regression_Brazil '!$B$102+G6*'Regression_Brazil '!$B$103+'Domestic, Brazil estimate'!G3*'Regression_Brazil '!$B$104</f>
        <v>23.886269013629409</v>
      </c>
      <c r="I8" s="57">
        <f>'Regression_Brazil '!$B$102+H6*'Regression_Brazil '!$B$103+'Domestic, Brazil estimate'!H3*'Regression_Brazil '!$B$104</f>
        <v>23.89531611429075</v>
      </c>
      <c r="J8" s="57">
        <f>'Regression_Brazil '!$B$102+I6*'Regression_Brazil '!$B$103+'Domestic, Brazil estimate'!I3*'Regression_Brazil '!$B$104</f>
        <v>23.904363214952099</v>
      </c>
      <c r="K8" s="57">
        <f>'Regression_Brazil '!$B$102+J6*'Regression_Brazil '!$B$103+'Domestic, Brazil estimate'!J3*'Regression_Brazil '!$B$104</f>
        <v>23.932965780805002</v>
      </c>
      <c r="L8" s="57">
        <f>'Regression_Brazil '!$B$102+K6*'Regression_Brazil '!$B$103+'Domestic, Brazil estimate'!K3*'Regression_Brazil '!$B$104</f>
        <v>23.942012881466344</v>
      </c>
      <c r="M8" s="57">
        <f>'Regression_Brazil '!$B$102+L6*'Regression_Brazil '!$B$103+'Domestic, Brazil estimate'!L3*'Regression_Brazil '!$B$104</f>
        <v>23.951059982127692</v>
      </c>
      <c r="N8" s="57">
        <f>'Regression_Brazil '!$B$102+M6*'Regression_Brazil '!$B$103+'Domestic, Brazil estimate'!M3*'Regression_Brazil '!$B$104</f>
        <v>23.96010708278904</v>
      </c>
      <c r="O8" s="57">
        <f>'Regression_Brazil '!$B$102+N6*'Regression_Brazil '!$B$103+'Domestic, Brazil estimate'!N3*'Regression_Brazil '!$B$104</f>
        <v>24.020247854305875</v>
      </c>
      <c r="P8" s="57">
        <f>'Regression_Brazil '!$B$102+O6*'Regression_Brazil '!$B$103+'Domestic, Brazil estimate'!O3*'Regression_Brazil '!$B$104</f>
        <v>24.029294954967217</v>
      </c>
      <c r="Q8" s="57">
        <f>'Regression_Brazil '!$B$102+P6*'Regression_Brazil '!$B$103+'Domestic, Brazil estimate'!P3*'Regression_Brazil '!$B$104</f>
        <v>24.038342055628558</v>
      </c>
      <c r="R8" s="57">
        <f>'Regression_Brazil '!$B$102+Q6*'Regression_Brazil '!$B$103+'Domestic, Brazil estimate'!Q3*'Regression_Brazil '!$B$104</f>
        <v>24.047389156289899</v>
      </c>
      <c r="S8" s="57">
        <f>'Regression_Brazil '!$B$102+R6*'Regression_Brazil '!$B$103+'Domestic, Brazil estimate'!R3*'Regression_Brazil '!$B$104</f>
        <v>24.056436256951255</v>
      </c>
      <c r="T8" s="57">
        <f>'Regression_Brazil '!$B$102+S6*'Regression_Brazil '!$B$103+'Domestic, Brazil estimate'!S3*'Regression_Brazil '!$B$104</f>
        <v>24.065483357612596</v>
      </c>
      <c r="U8" s="57">
        <f>'Regression_Brazil '!$B$102+T6*'Regression_Brazil '!$B$103+'Domestic, Brazil estimate'!T3*'Regression_Brazil '!$B$104</f>
        <v>24.074530458273937</v>
      </c>
      <c r="V8" s="57">
        <f>'Regression_Brazil '!$B$102+U6*'Regression_Brazil '!$B$103+'Domestic, Brazil estimate'!U3*'Regression_Brazil '!$B$104</f>
        <v>24.083577558935279</v>
      </c>
      <c r="W8" s="57">
        <f>'Regression_Brazil '!$B$102+V6*'Regression_Brazil '!$B$103+'Domestic, Brazil estimate'!V3*'Regression_Brazil '!$B$104</f>
        <v>24.09262465959662</v>
      </c>
      <c r="X8" s="57">
        <f>'Regression_Brazil '!$B$102+W6*'Regression_Brazil '!$B$103+'Domestic, Brazil estimate'!W3*'Regression_Brazil '!$B$104</f>
        <v>24.101671760257968</v>
      </c>
      <c r="Y8" s="57">
        <f>'Regression_Brazil '!$B$102+X6*'Regression_Brazil '!$B$103+'Domestic, Brazil estimate'!X3*'Regression_Brazil '!$B$104</f>
        <v>24.110718860919317</v>
      </c>
      <c r="Z8" s="57">
        <f>'Regression_Brazil '!$B$102+Y6*'Regression_Brazil '!$B$103+'Domestic, Brazil estimate'!Y3*'Regression_Brazil '!$B$104</f>
        <v>24.119765961580658</v>
      </c>
      <c r="AA8" s="57">
        <f>'Regression_Brazil '!$B$102+Z6*'Regression_Brazil '!$B$103+'Domestic, Brazil estimate'!Z3*'Regression_Brazil '!$B$104</f>
        <v>24.128813062241999</v>
      </c>
      <c r="AB8" s="57">
        <f>'Regression_Brazil '!$B$102+AA6*'Regression_Brazil '!$B$103+'Domestic, Brazil estimate'!AA3*'Regression_Brazil '!$B$104</f>
        <v>24.137860162903348</v>
      </c>
      <c r="AC8" s="57">
        <f>'Regression_Brazil '!$B$102+AB6*'Regression_Brazil '!$B$103+'Domestic, Brazil estimate'!AB3*'Regression_Brazil '!$B$104</f>
        <v>24.146907263564689</v>
      </c>
      <c r="AD8" s="57">
        <f>'Regression_Brazil '!$B$102+AC6*'Regression_Brazil '!$B$103+'Domestic, Brazil estimate'!AC3*'Regression_Brazil '!$B$104</f>
        <v>24.15595436422603</v>
      </c>
      <c r="AE8" s="57">
        <f>'Regression_Brazil '!$B$102+AD6*'Regression_Brazil '!$B$103+'Domestic, Brazil estimate'!AD3*'Regression_Brazil '!$B$104</f>
        <v>24.165001464887379</v>
      </c>
      <c r="AF8" s="57">
        <f>'Regression_Brazil '!$B$102+AE6*'Regression_Brazil '!$B$103+'Domestic, Brazil estimate'!AE3*'Regression_Brazil '!$B$104</f>
        <v>24.174048565548727</v>
      </c>
      <c r="AG8" s="57">
        <f>'Regression_Brazil '!$B$102+AF6*'Regression_Brazil '!$B$103+'Domestic, Brazil estimate'!AF3*'Regression_Brazil '!$B$104</f>
        <v>24.183095666210068</v>
      </c>
    </row>
    <row r="9" spans="1:33" ht="30.5" customHeight="1" x14ac:dyDescent="0.2">
      <c r="A9" s="1086" t="s">
        <v>985</v>
      </c>
      <c r="B9" s="1086"/>
      <c r="C9" s="1087"/>
      <c r="D9" s="1087"/>
      <c r="E9" s="1087"/>
      <c r="F9" s="1087">
        <f>EXP(F8)</f>
        <v>25310777193.48444</v>
      </c>
      <c r="G9" s="1087">
        <f t="shared" ref="G9:AC9" si="13">EXP(G8)</f>
        <v>23428566678.493988</v>
      </c>
      <c r="H9" s="1087">
        <f t="shared" si="13"/>
        <v>23641488992.081131</v>
      </c>
      <c r="I9" s="1087">
        <f>EXP(I8)</f>
        <v>23856346375.45916</v>
      </c>
      <c r="J9" s="1087">
        <f t="shared" si="13"/>
        <v>24073156414.831554</v>
      </c>
      <c r="K9" s="1087">
        <f t="shared" si="13"/>
        <v>24771652222.952206</v>
      </c>
      <c r="L9" s="1087">
        <f t="shared" si="13"/>
        <v>24996780698.589119</v>
      </c>
      <c r="M9" s="1087">
        <f t="shared" si="13"/>
        <v>25223955175.441086</v>
      </c>
      <c r="N9" s="1087">
        <f t="shared" si="13"/>
        <v>25453194247.872585</v>
      </c>
      <c r="O9" s="1087">
        <f t="shared" si="13"/>
        <v>27030936796.865269</v>
      </c>
      <c r="P9" s="1087">
        <f t="shared" si="13"/>
        <v>27276597988.187725</v>
      </c>
      <c r="Q9" s="1087">
        <f t="shared" si="13"/>
        <v>27524491785.112255</v>
      </c>
      <c r="R9" s="1087">
        <f t="shared" si="13"/>
        <v>27774638477.892059</v>
      </c>
      <c r="S9" s="1087">
        <f t="shared" si="13"/>
        <v>28027058541.181599</v>
      </c>
      <c r="T9" s="1087">
        <f t="shared" si="13"/>
        <v>28281772635.710846</v>
      </c>
      <c r="U9" s="1087">
        <f t="shared" si="13"/>
        <v>28538801609.978779</v>
      </c>
      <c r="V9" s="1087">
        <f t="shared" si="13"/>
        <v>28798166501.958241</v>
      </c>
      <c r="W9" s="1087">
        <f t="shared" si="13"/>
        <v>29059888540.818317</v>
      </c>
      <c r="X9" s="1087">
        <f t="shared" si="13"/>
        <v>29323989148.662167</v>
      </c>
      <c r="Y9" s="1087">
        <f t="shared" si="13"/>
        <v>29590489942.279804</v>
      </c>
      <c r="Z9" s="1087">
        <f t="shared" si="13"/>
        <v>29859412734.917854</v>
      </c>
      <c r="AA9" s="1087">
        <f t="shared" si="13"/>
        <v>30130779538.065403</v>
      </c>
      <c r="AB9" s="1087">
        <f t="shared" si="13"/>
        <v>30404612563.255253</v>
      </c>
      <c r="AC9" s="1087">
        <f t="shared" si="13"/>
        <v>30680934223.881283</v>
      </c>
      <c r="AD9" s="1087">
        <f t="shared" ref="AD9:AG9" si="14">EXP(AD8)</f>
        <v>30959767137.034283</v>
      </c>
      <c r="AE9" s="1087">
        <f t="shared" si="14"/>
        <v>31241134125.352558</v>
      </c>
      <c r="AF9" s="1087">
        <f t="shared" si="14"/>
        <v>31525058218.889515</v>
      </c>
      <c r="AG9" s="1087">
        <f t="shared" si="14"/>
        <v>31811562656.999123</v>
      </c>
    </row>
    <row r="10" spans="1:33" x14ac:dyDescent="0.2">
      <c r="A10" s="33"/>
      <c r="B10" s="33">
        <v>2019</v>
      </c>
      <c r="C10" s="59">
        <f>B20</f>
        <v>96449372986</v>
      </c>
      <c r="D10" s="59"/>
      <c r="E10" s="59"/>
      <c r="F10" s="59"/>
      <c r="G10" s="59"/>
      <c r="H10" s="59"/>
      <c r="I10" s="59"/>
      <c r="J10" s="59"/>
      <c r="K10" s="59"/>
      <c r="L10" s="59"/>
      <c r="M10" s="59"/>
      <c r="N10" s="59"/>
      <c r="O10" s="59"/>
      <c r="P10" s="59"/>
      <c r="Q10" s="59"/>
      <c r="R10" s="59"/>
      <c r="S10" s="59"/>
      <c r="T10" s="59"/>
      <c r="U10" s="59"/>
      <c r="V10" s="59"/>
      <c r="W10" s="59"/>
      <c r="X10" s="59"/>
      <c r="Y10" s="59"/>
      <c r="Z10" s="59"/>
      <c r="AA10" s="59"/>
      <c r="AB10" s="59"/>
      <c r="AC10" s="59"/>
      <c r="AD10" s="59"/>
      <c r="AE10" s="59"/>
      <c r="AF10" s="59"/>
      <c r="AG10" s="59"/>
    </row>
    <row r="11" spans="1:33" x14ac:dyDescent="0.2">
      <c r="A11" s="45" t="s">
        <v>986</v>
      </c>
      <c r="B11" s="33">
        <v>2020</v>
      </c>
      <c r="C11" s="59"/>
      <c r="D11" s="59"/>
      <c r="E11" s="59"/>
      <c r="F11" s="59"/>
      <c r="G11" s="59"/>
      <c r="H11" s="59"/>
      <c r="I11" s="59">
        <f>SUM(F9:I9)</f>
        <v>96237179239.518707</v>
      </c>
      <c r="J11" s="59"/>
      <c r="K11" s="59"/>
      <c r="L11" s="59"/>
      <c r="M11" s="59">
        <f t="shared" ref="M11" si="15">SUM(J9:M9)</f>
        <v>99065544511.813965</v>
      </c>
      <c r="N11" s="59"/>
      <c r="O11" s="59"/>
      <c r="P11" s="59"/>
      <c r="Q11" s="59">
        <f t="shared" ref="Q11" si="16">SUM(N9:Q9)</f>
        <v>107285220818.03784</v>
      </c>
      <c r="R11" s="59"/>
      <c r="S11" s="59"/>
      <c r="T11" s="59"/>
      <c r="U11" s="59">
        <f t="shared" ref="U11" si="17">SUM(R9:U9)</f>
        <v>112622271264.76328</v>
      </c>
      <c r="V11" s="59"/>
      <c r="W11" s="59"/>
      <c r="X11" s="59"/>
      <c r="Y11" s="59">
        <f t="shared" ref="Y11" si="18">SUM(V9:Y9)</f>
        <v>116772534133.71852</v>
      </c>
      <c r="Z11" s="59"/>
      <c r="AA11" s="59"/>
      <c r="AB11" s="59"/>
      <c r="AC11" s="59">
        <f t="shared" ref="AC11" si="19">SUM(Z9:AC9)</f>
        <v>121075739060.1198</v>
      </c>
      <c r="AD11" s="59"/>
      <c r="AE11" s="59"/>
      <c r="AF11" s="59"/>
      <c r="AG11" s="59">
        <f t="shared" ref="AG11" si="20">SUM(AD9:AG9)</f>
        <v>125537522138.27548</v>
      </c>
    </row>
    <row r="12" spans="1:33" ht="17" thickBot="1" x14ac:dyDescent="0.25">
      <c r="B12">
        <v>2021</v>
      </c>
      <c r="C12" s="6"/>
      <c r="D12" s="6"/>
      <c r="E12" s="6"/>
      <c r="F12" s="6"/>
      <c r="G12" s="6"/>
      <c r="H12" s="6"/>
      <c r="I12" s="6"/>
      <c r="J12" s="6"/>
      <c r="K12" s="6"/>
      <c r="L12" s="6"/>
      <c r="M12" s="6"/>
      <c r="N12" s="6"/>
      <c r="O12" s="6"/>
      <c r="P12" s="6"/>
      <c r="Q12" s="6"/>
      <c r="R12" s="6"/>
      <c r="S12" s="6"/>
      <c r="T12" s="6"/>
      <c r="U12" s="6"/>
      <c r="V12" s="6"/>
      <c r="W12" s="6"/>
      <c r="X12" s="6"/>
      <c r="Y12" s="6"/>
      <c r="Z12" s="6"/>
      <c r="AA12" s="6"/>
      <c r="AB12" s="6"/>
      <c r="AC12" s="6"/>
    </row>
    <row r="13" spans="1:33" x14ac:dyDescent="0.2">
      <c r="A13" s="48" t="s">
        <v>987</v>
      </c>
      <c r="B13" s="49">
        <v>2022</v>
      </c>
      <c r="C13" s="60">
        <f>I11</f>
        <v>96237179239.518707</v>
      </c>
      <c r="D13" s="55"/>
      <c r="E13" s="6"/>
      <c r="F13" s="6"/>
      <c r="G13" s="6"/>
      <c r="H13" s="6"/>
      <c r="I13" s="6"/>
      <c r="J13" s="6"/>
      <c r="K13" s="6"/>
      <c r="L13" s="6"/>
      <c r="M13" s="6"/>
      <c r="N13" s="6"/>
      <c r="O13" s="6"/>
      <c r="P13" s="6"/>
      <c r="Q13" s="6"/>
      <c r="R13" s="6"/>
      <c r="S13" s="6"/>
      <c r="T13" s="6"/>
      <c r="U13" s="6"/>
      <c r="V13" s="6"/>
      <c r="W13" s="6"/>
      <c r="X13" s="6"/>
      <c r="Y13" s="6"/>
      <c r="Z13" s="6"/>
      <c r="AA13" s="6"/>
      <c r="AB13" s="6"/>
      <c r="AC13" s="6"/>
    </row>
    <row r="14" spans="1:33" x14ac:dyDescent="0.2">
      <c r="A14" s="50"/>
      <c r="B14" s="51">
        <v>2023</v>
      </c>
      <c r="C14" s="61">
        <f>M11</f>
        <v>99065544511.813965</v>
      </c>
      <c r="D14" s="6"/>
      <c r="E14" s="6"/>
      <c r="F14" s="6"/>
      <c r="G14" s="6"/>
      <c r="H14" s="6"/>
      <c r="I14" s="6"/>
      <c r="J14" s="6"/>
      <c r="K14" s="6"/>
      <c r="L14" s="6"/>
      <c r="M14" s="6"/>
      <c r="N14" s="6"/>
      <c r="O14" s="6"/>
      <c r="P14" s="6"/>
      <c r="Q14" s="6"/>
      <c r="R14" s="6"/>
      <c r="S14" s="6"/>
      <c r="T14" s="6"/>
      <c r="U14" s="6"/>
      <c r="V14" s="6"/>
      <c r="W14" s="6"/>
      <c r="X14" s="6"/>
      <c r="Y14" s="6"/>
      <c r="Z14" s="6"/>
      <c r="AA14" s="6"/>
      <c r="AB14" s="6"/>
      <c r="AC14" s="6"/>
    </row>
    <row r="15" spans="1:33" x14ac:dyDescent="0.2">
      <c r="A15" s="50"/>
      <c r="B15" s="51">
        <v>2024</v>
      </c>
      <c r="C15" s="61">
        <f>Q11</f>
        <v>107285220818.03784</v>
      </c>
      <c r="D15" s="6"/>
      <c r="E15" s="6"/>
      <c r="F15" s="6"/>
      <c r="G15" s="6"/>
      <c r="H15" s="6"/>
      <c r="I15" s="6"/>
      <c r="J15" s="6"/>
      <c r="K15" s="6"/>
      <c r="L15" s="6"/>
      <c r="M15" s="6"/>
      <c r="N15" s="6"/>
      <c r="O15" s="6"/>
      <c r="P15" s="6"/>
      <c r="Q15" s="6"/>
      <c r="R15" s="6"/>
      <c r="S15" s="6"/>
      <c r="T15" s="6"/>
      <c r="U15" s="6"/>
      <c r="V15" s="6"/>
      <c r="W15" s="6"/>
      <c r="X15" s="6"/>
      <c r="Y15" s="6"/>
      <c r="Z15" s="6"/>
      <c r="AA15" s="6"/>
      <c r="AB15" s="6"/>
      <c r="AC15" s="6"/>
    </row>
    <row r="16" spans="1:33" x14ac:dyDescent="0.2">
      <c r="A16" s="50"/>
      <c r="B16" s="51">
        <v>2025</v>
      </c>
      <c r="C16" s="61">
        <f>U11</f>
        <v>112622271264.76328</v>
      </c>
      <c r="D16" s="6"/>
      <c r="E16" s="6"/>
      <c r="F16" s="6"/>
      <c r="G16" s="6"/>
      <c r="H16" s="6"/>
      <c r="I16" s="6"/>
      <c r="J16" s="6"/>
      <c r="K16" s="6"/>
      <c r="L16" s="6"/>
      <c r="M16" s="6"/>
      <c r="N16" s="6"/>
      <c r="O16" s="6"/>
      <c r="P16" s="6"/>
      <c r="Q16" s="6"/>
      <c r="R16" s="6"/>
      <c r="S16" s="6"/>
      <c r="T16" s="6"/>
      <c r="U16" s="6"/>
      <c r="V16" s="6"/>
      <c r="W16" s="6"/>
      <c r="X16" s="6"/>
      <c r="Y16" s="6"/>
      <c r="Z16" s="6"/>
      <c r="AA16" s="6"/>
      <c r="AB16" s="6"/>
      <c r="AC16" s="6"/>
    </row>
    <row r="17" spans="1:29" x14ac:dyDescent="0.2">
      <c r="A17" s="50"/>
      <c r="B17" s="51">
        <v>2026</v>
      </c>
      <c r="C17" s="61">
        <f>Y11</f>
        <v>116772534133.71852</v>
      </c>
      <c r="D17" s="6"/>
      <c r="E17" s="6"/>
      <c r="F17" s="6"/>
      <c r="G17" s="6"/>
      <c r="H17" s="6"/>
      <c r="I17" s="6"/>
      <c r="J17" s="6"/>
      <c r="K17" s="6"/>
      <c r="L17" s="6"/>
      <c r="M17" s="6"/>
      <c r="N17" s="6"/>
      <c r="O17" s="6"/>
      <c r="P17" s="6"/>
      <c r="Q17" s="6"/>
      <c r="R17" s="6"/>
      <c r="S17" s="6"/>
      <c r="T17" s="6"/>
      <c r="U17" s="6"/>
      <c r="V17" s="6"/>
      <c r="W17" s="6"/>
      <c r="X17" s="6"/>
      <c r="Y17" s="6"/>
      <c r="Z17" s="6"/>
      <c r="AA17" s="6"/>
      <c r="AB17" s="6"/>
      <c r="AC17" s="6"/>
    </row>
    <row r="18" spans="1:29" ht="17" thickBot="1" x14ac:dyDescent="0.25">
      <c r="A18" s="52"/>
      <c r="B18" s="53">
        <v>2027</v>
      </c>
      <c r="C18" s="62">
        <f>AC11</f>
        <v>121075739060.1198</v>
      </c>
    </row>
    <row r="19" spans="1:29" x14ac:dyDescent="0.2">
      <c r="A19" s="1084" t="s">
        <v>988</v>
      </c>
      <c r="B19" s="1084">
        <v>2028</v>
      </c>
      <c r="C19" s="1085">
        <f>AG11</f>
        <v>125537522138.27548</v>
      </c>
    </row>
    <row r="20" spans="1:29" x14ac:dyDescent="0.2">
      <c r="A20" t="s">
        <v>989</v>
      </c>
      <c r="B20" s="6">
        <f>B53</f>
        <v>96449372986</v>
      </c>
    </row>
    <row r="22" spans="1:29" x14ac:dyDescent="0.2">
      <c r="A22" t="s">
        <v>990</v>
      </c>
      <c r="B22" s="56">
        <f>(C18/C13)^(1/5)-1</f>
        <v>4.6990759509978552E-2</v>
      </c>
    </row>
    <row r="23" spans="1:29" x14ac:dyDescent="0.2">
      <c r="A23" t="s">
        <v>991</v>
      </c>
      <c r="B23" s="56">
        <f>(C19/C10)^(1/8)-1</f>
        <v>3.3497113379365118E-2</v>
      </c>
    </row>
    <row r="33" spans="1:2" x14ac:dyDescent="0.2">
      <c r="A33" t="s">
        <v>992</v>
      </c>
      <c r="B33" t="s">
        <v>993</v>
      </c>
    </row>
    <row r="34" spans="1:2" x14ac:dyDescent="0.2">
      <c r="A34">
        <v>2000</v>
      </c>
      <c r="B34" s="6">
        <v>25219968079</v>
      </c>
    </row>
    <row r="35" spans="1:2" x14ac:dyDescent="0.2">
      <c r="A35">
        <v>2001</v>
      </c>
      <c r="B35" s="6">
        <v>27336355492</v>
      </c>
    </row>
    <row r="36" spans="1:2" x14ac:dyDescent="0.2">
      <c r="A36">
        <v>2002</v>
      </c>
      <c r="B36" s="6">
        <v>26704516044</v>
      </c>
    </row>
    <row r="37" spans="1:2" x14ac:dyDescent="0.2">
      <c r="A37">
        <v>2003</v>
      </c>
      <c r="B37" s="6">
        <v>26099852761</v>
      </c>
    </row>
    <row r="38" spans="1:2" x14ac:dyDescent="0.2">
      <c r="A38">
        <v>2004</v>
      </c>
      <c r="B38" s="6">
        <v>28881235043</v>
      </c>
    </row>
    <row r="39" spans="1:2" x14ac:dyDescent="0.2">
      <c r="A39">
        <v>2005</v>
      </c>
      <c r="B39" s="6">
        <v>35252145026</v>
      </c>
    </row>
    <row r="40" spans="1:2" x14ac:dyDescent="0.2">
      <c r="A40">
        <v>2006</v>
      </c>
      <c r="B40" s="6">
        <v>40441366277</v>
      </c>
    </row>
    <row r="41" spans="1:2" x14ac:dyDescent="0.2">
      <c r="A41">
        <v>2007</v>
      </c>
      <c r="B41" s="6">
        <v>45470884457</v>
      </c>
    </row>
    <row r="42" spans="1:2" x14ac:dyDescent="0.2">
      <c r="A42">
        <v>2008</v>
      </c>
      <c r="B42" s="6">
        <v>49046278775</v>
      </c>
    </row>
    <row r="43" spans="1:2" x14ac:dyDescent="0.2">
      <c r="A43">
        <v>2009</v>
      </c>
      <c r="B43" s="6">
        <v>57194653909</v>
      </c>
    </row>
    <row r="44" spans="1:2" x14ac:dyDescent="0.2">
      <c r="A44">
        <v>2010</v>
      </c>
      <c r="B44" s="6">
        <v>69862011045</v>
      </c>
    </row>
    <row r="45" spans="1:2" x14ac:dyDescent="0.2">
      <c r="A45">
        <v>2011</v>
      </c>
      <c r="B45" s="6">
        <v>81103599006</v>
      </c>
    </row>
    <row r="46" spans="1:2" x14ac:dyDescent="0.2">
      <c r="A46">
        <v>2012</v>
      </c>
      <c r="B46" s="6">
        <v>86771899770</v>
      </c>
    </row>
    <row r="47" spans="1:2" x14ac:dyDescent="0.2">
      <c r="A47">
        <v>2013</v>
      </c>
      <c r="B47" s="6">
        <v>87739855137</v>
      </c>
    </row>
    <row r="48" spans="1:2" x14ac:dyDescent="0.2">
      <c r="A48">
        <v>2014</v>
      </c>
      <c r="B48" s="6">
        <v>93183426748</v>
      </c>
    </row>
    <row r="49" spans="1:2" x14ac:dyDescent="0.2">
      <c r="A49">
        <v>2015</v>
      </c>
      <c r="B49" s="6">
        <v>94279579222</v>
      </c>
    </row>
    <row r="50" spans="1:2" x14ac:dyDescent="0.2">
      <c r="A50">
        <v>2016</v>
      </c>
      <c r="B50" s="6">
        <v>88893631324</v>
      </c>
    </row>
    <row r="51" spans="1:2" x14ac:dyDescent="0.2">
      <c r="A51">
        <v>2017</v>
      </c>
      <c r="B51" s="6">
        <v>91857637947</v>
      </c>
    </row>
    <row r="52" spans="1:2" x14ac:dyDescent="0.2">
      <c r="A52">
        <v>2018</v>
      </c>
      <c r="B52" s="6">
        <v>95870486759</v>
      </c>
    </row>
    <row r="53" spans="1:2" x14ac:dyDescent="0.2">
      <c r="A53">
        <v>2019</v>
      </c>
      <c r="B53" s="6">
        <v>96449372986</v>
      </c>
    </row>
    <row r="54" spans="1:2" x14ac:dyDescent="0.2">
      <c r="A54">
        <v>2020</v>
      </c>
      <c r="B54" s="6">
        <f>48695532564</f>
        <v>48695532564</v>
      </c>
    </row>
    <row r="55" spans="1:2" x14ac:dyDescent="0.2">
      <c r="A55">
        <v>2021</v>
      </c>
      <c r="B55" s="6">
        <v>66373162099</v>
      </c>
    </row>
    <row r="56" spans="1:2" x14ac:dyDescent="0.2">
      <c r="A56">
        <f>B13</f>
        <v>2022</v>
      </c>
      <c r="B56">
        <f>C13</f>
        <v>96237179239.518707</v>
      </c>
    </row>
    <row r="57" spans="1:2" x14ac:dyDescent="0.2">
      <c r="A57">
        <f t="shared" ref="A57:B57" si="21">B14</f>
        <v>2023</v>
      </c>
      <c r="B57">
        <f t="shared" si="21"/>
        <v>99065544511.813965</v>
      </c>
    </row>
    <row r="58" spans="1:2" x14ac:dyDescent="0.2">
      <c r="A58">
        <f t="shared" ref="A58:B58" si="22">B15</f>
        <v>2024</v>
      </c>
      <c r="B58" s="6">
        <f t="shared" si="22"/>
        <v>107285220818.03784</v>
      </c>
    </row>
    <row r="59" spans="1:2" x14ac:dyDescent="0.2">
      <c r="A59">
        <f t="shared" ref="A59:B59" si="23">B16</f>
        <v>2025</v>
      </c>
      <c r="B59" s="6">
        <f t="shared" si="23"/>
        <v>112622271264.76328</v>
      </c>
    </row>
    <row r="60" spans="1:2" x14ac:dyDescent="0.2">
      <c r="A60">
        <f>B17</f>
        <v>2026</v>
      </c>
      <c r="B60" s="6">
        <f>C17</f>
        <v>116772534133.71852</v>
      </c>
    </row>
    <row r="61" spans="1:2" x14ac:dyDescent="0.2">
      <c r="A61">
        <f t="shared" ref="A61:B61" si="24">B18</f>
        <v>2027</v>
      </c>
      <c r="B61" s="6">
        <f t="shared" si="24"/>
        <v>121075739060.1198</v>
      </c>
    </row>
  </sheetData>
  <phoneticPr fontId="3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94A38-A0E1-AA4D-AF66-F319A1F62058}">
  <sheetPr>
    <tabColor theme="4" tint="0.79998168889431442"/>
  </sheetPr>
  <dimension ref="A2:U67"/>
  <sheetViews>
    <sheetView topLeftCell="F3" zoomScale="84" zoomScaleNormal="60" workbookViewId="0">
      <selection activeCell="M32" sqref="M32"/>
    </sheetView>
  </sheetViews>
  <sheetFormatPr baseColWidth="10" defaultColWidth="8.6640625" defaultRowHeight="15" x14ac:dyDescent="0.2"/>
  <cols>
    <col min="1" max="1" width="19.6640625" style="72" customWidth="1"/>
    <col min="2" max="2" width="16.33203125" style="72" customWidth="1"/>
    <col min="3" max="3" width="11.1640625" style="72" bestFit="1" customWidth="1"/>
    <col min="4" max="4" width="13.6640625" style="72" bestFit="1" customWidth="1"/>
    <col min="5" max="5" width="11.5" style="72" customWidth="1"/>
    <col min="6" max="6" width="12.33203125" style="72" bestFit="1" customWidth="1"/>
    <col min="7" max="7" width="11.6640625" style="72" bestFit="1" customWidth="1"/>
    <col min="8" max="10" width="11.33203125" style="72" bestFit="1" customWidth="1"/>
    <col min="11" max="11" width="11.83203125" style="72" bestFit="1" customWidth="1"/>
    <col min="12" max="12" width="11.5" style="72" bestFit="1" customWidth="1"/>
    <col min="13" max="13" width="14.33203125" style="72" bestFit="1" customWidth="1"/>
    <col min="14" max="18" width="15.33203125" style="72" bestFit="1" customWidth="1"/>
    <col min="19" max="16384" width="8.6640625" style="72"/>
  </cols>
  <sheetData>
    <row r="2" spans="1:21" x14ac:dyDescent="0.2">
      <c r="A2" s="71" t="s">
        <v>994</v>
      </c>
      <c r="B2" s="71"/>
      <c r="C2" s="71"/>
      <c r="D2" s="71"/>
      <c r="E2" s="71"/>
      <c r="F2" s="71"/>
    </row>
    <row r="3" spans="1:21" x14ac:dyDescent="0.2">
      <c r="B3" s="72" t="s">
        <v>995</v>
      </c>
      <c r="C3" s="71" t="s">
        <v>996</v>
      </c>
      <c r="D3" s="71" t="s">
        <v>996</v>
      </c>
      <c r="E3" s="71" t="s">
        <v>996</v>
      </c>
      <c r="F3" s="71" t="s">
        <v>996</v>
      </c>
      <c r="G3" s="71" t="s">
        <v>996</v>
      </c>
      <c r="H3" s="71" t="s">
        <v>996</v>
      </c>
      <c r="I3" s="71" t="s">
        <v>996</v>
      </c>
      <c r="J3" s="71" t="s">
        <v>996</v>
      </c>
      <c r="K3" s="71" t="s">
        <v>996</v>
      </c>
      <c r="L3" s="71" t="s">
        <v>996</v>
      </c>
      <c r="M3" s="71" t="s">
        <v>997</v>
      </c>
      <c r="N3" s="71" t="s">
        <v>998</v>
      </c>
      <c r="O3" s="71" t="s">
        <v>998</v>
      </c>
      <c r="P3" s="71" t="s">
        <v>998</v>
      </c>
      <c r="Q3" s="71" t="s">
        <v>998</v>
      </c>
      <c r="R3" s="71" t="s">
        <v>998</v>
      </c>
    </row>
    <row r="4" spans="1:21" x14ac:dyDescent="0.2">
      <c r="B4" s="72" t="s">
        <v>999</v>
      </c>
      <c r="C4" s="71">
        <v>2012</v>
      </c>
      <c r="D4" s="71">
        <v>2013</v>
      </c>
      <c r="E4" s="71">
        <v>2014</v>
      </c>
      <c r="F4" s="71">
        <v>2015</v>
      </c>
      <c r="G4" s="71">
        <v>2016</v>
      </c>
      <c r="H4" s="71">
        <f>G4+1</f>
        <v>2017</v>
      </c>
      <c r="I4" s="71">
        <f t="shared" ref="I4:R4" si="0">H4+1</f>
        <v>2018</v>
      </c>
      <c r="J4" s="71">
        <f t="shared" si="0"/>
        <v>2019</v>
      </c>
      <c r="K4" s="71">
        <f t="shared" si="0"/>
        <v>2020</v>
      </c>
      <c r="L4" s="71">
        <f t="shared" si="0"/>
        <v>2021</v>
      </c>
      <c r="M4" s="71">
        <f>L4+1</f>
        <v>2022</v>
      </c>
      <c r="N4" s="71">
        <f t="shared" si="0"/>
        <v>2023</v>
      </c>
      <c r="O4" s="71">
        <f t="shared" si="0"/>
        <v>2024</v>
      </c>
      <c r="P4" s="71">
        <f t="shared" si="0"/>
        <v>2025</v>
      </c>
      <c r="Q4" s="71">
        <f>P4+1</f>
        <v>2026</v>
      </c>
      <c r="R4" s="71">
        <f t="shared" si="0"/>
        <v>2027</v>
      </c>
    </row>
    <row r="5" spans="1:21" x14ac:dyDescent="0.2">
      <c r="B5" s="72" t="s">
        <v>1000</v>
      </c>
      <c r="C5" s="65">
        <v>86771899.769999996</v>
      </c>
      <c r="D5" s="65">
        <v>87739855.136999995</v>
      </c>
      <c r="E5" s="65">
        <v>93183426.747999996</v>
      </c>
      <c r="F5" s="65">
        <v>94279579.222000003</v>
      </c>
      <c r="G5" s="65">
        <v>88893631.324000001</v>
      </c>
      <c r="H5" s="65">
        <v>91857637.946999997</v>
      </c>
      <c r="I5" s="65">
        <v>95870486.759000003</v>
      </c>
      <c r="J5" s="65">
        <v>96449372.986000001</v>
      </c>
      <c r="K5" s="65">
        <v>48695532.564000003</v>
      </c>
      <c r="L5" s="65">
        <v>66373162.098999999</v>
      </c>
      <c r="M5" s="65">
        <f>'Domestic, Brazil estimate'!B56/1000</f>
        <v>96237179.239518702</v>
      </c>
      <c r="N5" s="65">
        <f>'Domestic, Brazil estimate'!B57/1000</f>
        <v>99065544.511813968</v>
      </c>
      <c r="O5" s="65">
        <f>'Domestic, Brazil estimate'!B58/1000</f>
        <v>107285220.81803784</v>
      </c>
      <c r="P5" s="65">
        <f>'Domestic, Brazil estimate'!B59/1000</f>
        <v>112622271.26476328</v>
      </c>
      <c r="Q5" s="65">
        <f>'Domestic, Brazil estimate'!B60/1000</f>
        <v>116772534.13371852</v>
      </c>
      <c r="R5" s="65">
        <f>'Domestic, Brazil estimate'!B61/1000</f>
        <v>121075739.06011979</v>
      </c>
      <c r="T5" s="1175" t="s">
        <v>1001</v>
      </c>
      <c r="U5" s="1175"/>
    </row>
    <row r="6" spans="1:21" x14ac:dyDescent="0.2">
      <c r="B6" s="73" t="s">
        <v>1002</v>
      </c>
      <c r="C6" s="73"/>
      <c r="D6" s="74">
        <f>D5/C5-1</f>
        <v>1.1155170850997598E-2</v>
      </c>
      <c r="E6" s="74">
        <f t="shared" ref="E6:L6" si="1">E5/D5-1</f>
        <v>6.2042176870479526E-2</v>
      </c>
      <c r="F6" s="74">
        <f t="shared" si="1"/>
        <v>1.1763384458530091E-2</v>
      </c>
      <c r="G6" s="74">
        <f t="shared" si="1"/>
        <v>-5.7127407042385281E-2</v>
      </c>
      <c r="H6" s="74">
        <f t="shared" si="1"/>
        <v>3.3343295564074449E-2</v>
      </c>
      <c r="I6" s="74">
        <f t="shared" si="1"/>
        <v>4.3685521440419928E-2</v>
      </c>
      <c r="J6" s="74">
        <f t="shared" si="1"/>
        <v>6.0382109924528304E-3</v>
      </c>
      <c r="K6" s="74">
        <f t="shared" si="1"/>
        <v>-0.49511820495641434</v>
      </c>
      <c r="L6" s="74">
        <f t="shared" si="1"/>
        <v>0.36302364106535823</v>
      </c>
      <c r="M6" s="75">
        <f>M5/L5-1</f>
        <v>0.44994115386539102</v>
      </c>
      <c r="N6" s="76">
        <f>N5/M5-1</f>
        <v>2.9389527983316288E-2</v>
      </c>
      <c r="O6" s="76">
        <f t="shared" ref="O6:Q6" si="2">O5/N5-1</f>
        <v>8.297210040816605E-2</v>
      </c>
      <c r="P6" s="76">
        <f t="shared" si="2"/>
        <v>4.974637145760652E-2</v>
      </c>
      <c r="Q6" s="76">
        <f t="shared" si="2"/>
        <v>3.6851173594238729E-2</v>
      </c>
      <c r="R6" s="76">
        <f>R5/Q5-1</f>
        <v>3.6851173594242503E-2</v>
      </c>
      <c r="T6" s="1175"/>
      <c r="U6" s="1175"/>
    </row>
    <row r="7" spans="1:21" x14ac:dyDescent="0.2">
      <c r="B7" s="72" t="s">
        <v>128</v>
      </c>
      <c r="D7" s="65">
        <f>D5-C5</f>
        <v>967955.36699999869</v>
      </c>
      <c r="E7" s="65">
        <f t="shared" ref="E7:R7" si="3">E5-D5</f>
        <v>5443571.6110000014</v>
      </c>
      <c r="F7" s="65">
        <f t="shared" si="3"/>
        <v>1096152.4740000069</v>
      </c>
      <c r="G7" s="65">
        <f t="shared" si="3"/>
        <v>-5385947.8980000019</v>
      </c>
      <c r="H7" s="65">
        <f t="shared" si="3"/>
        <v>2964006.6229999959</v>
      </c>
      <c r="I7" s="65">
        <f t="shared" si="3"/>
        <v>4012848.8120000064</v>
      </c>
      <c r="J7" s="65">
        <f t="shared" si="3"/>
        <v>578886.22699999809</v>
      </c>
      <c r="K7" s="65">
        <f t="shared" si="3"/>
        <v>-47753840.421999998</v>
      </c>
      <c r="L7" s="65">
        <f t="shared" si="3"/>
        <v>17677629.534999996</v>
      </c>
      <c r="M7" s="65">
        <f>M5-L5</f>
        <v>29864017.140518703</v>
      </c>
      <c r="N7" s="65">
        <f>N5-M5</f>
        <v>2828365.2722952664</v>
      </c>
      <c r="O7" s="65">
        <f t="shared" si="3"/>
        <v>8219676.3062238693</v>
      </c>
      <c r="P7" s="65">
        <f t="shared" si="3"/>
        <v>5337050.446725443</v>
      </c>
      <c r="Q7" s="65">
        <f t="shared" si="3"/>
        <v>4150262.8689552397</v>
      </c>
      <c r="R7" s="65">
        <f t="shared" si="3"/>
        <v>4303204.9264012724</v>
      </c>
    </row>
    <row r="8" spans="1:21" x14ac:dyDescent="0.2">
      <c r="M8" s="77"/>
      <c r="N8" s="77"/>
      <c r="O8" s="78"/>
      <c r="P8" s="78"/>
      <c r="Q8" s="78"/>
      <c r="R8" s="78"/>
    </row>
    <row r="10" spans="1:21" x14ac:dyDescent="0.2">
      <c r="A10" s="79" t="s">
        <v>1003</v>
      </c>
      <c r="B10" s="79" t="s">
        <v>1004</v>
      </c>
      <c r="C10" s="80">
        <v>29266253</v>
      </c>
      <c r="D10" s="80">
        <v>30922480</v>
      </c>
      <c r="E10" s="80">
        <v>33661475</v>
      </c>
      <c r="F10" s="80">
        <v>33833189</v>
      </c>
      <c r="G10" s="80">
        <v>31999872</v>
      </c>
      <c r="H10" s="80">
        <v>33219792</v>
      </c>
      <c r="I10" s="80">
        <v>34258111</v>
      </c>
      <c r="J10" s="80">
        <v>36429290</v>
      </c>
      <c r="K10" s="80">
        <v>18838943</v>
      </c>
      <c r="L10" s="80">
        <v>22114929</v>
      </c>
      <c r="M10" s="80">
        <f>0.345377057469976*M5</f>
        <v>33238113.784955632</v>
      </c>
      <c r="N10" s="80">
        <f t="shared" ref="N10:R10" si="4">M10+N11</f>
        <v>34072189.903000422</v>
      </c>
      <c r="O10" s="80">
        <f t="shared" si="4"/>
        <v>36447134.487869918</v>
      </c>
      <c r="P10" s="80">
        <f t="shared" si="4"/>
        <v>37957366.404898889</v>
      </c>
      <c r="Q10" s="80">
        <f t="shared" si="4"/>
        <v>39131771.539593108</v>
      </c>
      <c r="R10" s="80">
        <f t="shared" si="4"/>
        <v>40349454.881776035</v>
      </c>
    </row>
    <row r="11" spans="1:21" x14ac:dyDescent="0.2">
      <c r="A11" s="79"/>
      <c r="B11" s="79" t="s">
        <v>1005</v>
      </c>
      <c r="C11" s="79"/>
      <c r="D11" s="80">
        <f>D10-C10</f>
        <v>1656227</v>
      </c>
      <c r="E11" s="80">
        <f t="shared" ref="E11:L11" si="5">E10-D10</f>
        <v>2738995</v>
      </c>
      <c r="F11" s="80">
        <f t="shared" si="5"/>
        <v>171714</v>
      </c>
      <c r="G11" s="80">
        <f t="shared" si="5"/>
        <v>-1833317</v>
      </c>
      <c r="H11" s="80">
        <f t="shared" si="5"/>
        <v>1219920</v>
      </c>
      <c r="I11" s="80">
        <f t="shared" si="5"/>
        <v>1038319</v>
      </c>
      <c r="J11" s="80">
        <f t="shared" si="5"/>
        <v>2171179</v>
      </c>
      <c r="K11" s="80">
        <f t="shared" si="5"/>
        <v>-17590347</v>
      </c>
      <c r="L11" s="80">
        <f t="shared" si="5"/>
        <v>3275986</v>
      </c>
      <c r="M11" s="80">
        <f>M10-L10</f>
        <v>11123184.784955632</v>
      </c>
      <c r="N11" s="80">
        <f t="shared" ref="N11:R11" si="6">N14*N7</f>
        <v>834076.11804479291</v>
      </c>
      <c r="O11" s="80">
        <f t="shared" si="6"/>
        <v>2374944.5848694961</v>
      </c>
      <c r="P11" s="80">
        <f t="shared" si="6"/>
        <v>1510231.9170289726</v>
      </c>
      <c r="Q11" s="80">
        <f t="shared" si="6"/>
        <v>1174405.1346942191</v>
      </c>
      <c r="R11" s="80">
        <f t="shared" si="6"/>
        <v>1217683.3421829254</v>
      </c>
    </row>
    <row r="12" spans="1:21" x14ac:dyDescent="0.2">
      <c r="A12" s="79"/>
      <c r="B12" s="79" t="s">
        <v>1006</v>
      </c>
      <c r="C12" s="79"/>
      <c r="D12" s="81">
        <f>D11/D7</f>
        <v>1.7110572000165398</v>
      </c>
      <c r="E12" s="81">
        <f t="shared" ref="E12:L12" si="7">E11/E7</f>
        <v>0.50316137927996096</v>
      </c>
      <c r="F12" s="81">
        <f t="shared" si="7"/>
        <v>0.15665156451583115</v>
      </c>
      <c r="G12" s="81">
        <f t="shared" si="7"/>
        <v>0.3403889221952513</v>
      </c>
      <c r="H12" s="81">
        <f t="shared" si="7"/>
        <v>0.41157802770537255</v>
      </c>
      <c r="I12" s="81">
        <f t="shared" si="7"/>
        <v>0.25874859698053293</v>
      </c>
      <c r="J12" s="81">
        <f t="shared" si="7"/>
        <v>3.7506143672684185</v>
      </c>
      <c r="K12" s="81">
        <f t="shared" si="7"/>
        <v>0.36835460445807827</v>
      </c>
      <c r="L12" s="81">
        <f t="shared" si="7"/>
        <v>0.18531817252499067</v>
      </c>
      <c r="M12" s="81">
        <f>M11/$M$7</f>
        <v>0.37246110369605939</v>
      </c>
      <c r="N12" s="79"/>
      <c r="O12" s="79"/>
      <c r="P12" s="79"/>
      <c r="Q12" s="79"/>
      <c r="R12" s="79"/>
    </row>
    <row r="13" spans="1:21" x14ac:dyDescent="0.2">
      <c r="A13" s="79"/>
      <c r="B13" s="79" t="s">
        <v>1007</v>
      </c>
      <c r="C13" s="79"/>
      <c r="D13" s="81">
        <f t="shared" ref="D13:M13" si="8">D12/(D12+D18+D30)</f>
        <v>0.39005666115339671</v>
      </c>
      <c r="E13" s="81">
        <f t="shared" si="8"/>
        <v>0.36955146705049358</v>
      </c>
      <c r="F13" s="81">
        <f t="shared" si="8"/>
        <v>-0.71098100754812288</v>
      </c>
      <c r="G13" s="81">
        <f t="shared" si="8"/>
        <v>0.28508009163281439</v>
      </c>
      <c r="H13" s="81">
        <f t="shared" si="8"/>
        <v>0.80898322045508941</v>
      </c>
      <c r="I13" s="81">
        <f t="shared" si="8"/>
        <v>0.33198767226960885</v>
      </c>
      <c r="J13" s="81">
        <f t="shared" si="8"/>
        <v>0.22052615375896012</v>
      </c>
      <c r="K13" s="81">
        <f t="shared" si="8"/>
        <v>0.3995507085263984</v>
      </c>
      <c r="L13" s="81">
        <f t="shared" si="8"/>
        <v>0.19056578968799659</v>
      </c>
      <c r="M13" s="81">
        <f t="shared" si="8"/>
        <v>0.36851417477262538</v>
      </c>
      <c r="N13" s="82"/>
      <c r="O13" s="82"/>
      <c r="P13" s="79"/>
      <c r="Q13" s="79"/>
      <c r="R13" s="79"/>
    </row>
    <row r="14" spans="1:21" x14ac:dyDescent="0.2">
      <c r="A14" s="79"/>
      <c r="B14" s="79" t="s">
        <v>1008</v>
      </c>
      <c r="C14" s="79"/>
      <c r="D14" s="81"/>
      <c r="E14" s="81"/>
      <c r="F14" s="81"/>
      <c r="G14" s="81"/>
      <c r="H14" s="81"/>
      <c r="I14" s="81"/>
      <c r="J14" s="81"/>
      <c r="K14" s="81"/>
      <c r="L14" s="83"/>
      <c r="M14" s="82">
        <f>SUMPRODUCT(D13:M13,$D$54:$M$54)</f>
        <v>0.29814058136451593</v>
      </c>
      <c r="N14" s="82">
        <f>$M14*(1-N$44-$N$36)</f>
        <v>0.29489688839515626</v>
      </c>
      <c r="O14" s="82">
        <f>$M14*(1-O$44-$N$36)</f>
        <v>0.28893407676786592</v>
      </c>
      <c r="P14" s="82">
        <f>$M14*(1-P$44-$N$36)</f>
        <v>0.28297126514057558</v>
      </c>
      <c r="Q14" s="82">
        <f>$M14*(1-Q$44-$N$36)</f>
        <v>0.28297126514057558</v>
      </c>
      <c r="R14" s="82">
        <f>$M14*(1-R$44-$N$36)</f>
        <v>0.28297126514057558</v>
      </c>
      <c r="U14" s="84"/>
    </row>
    <row r="15" spans="1:21" x14ac:dyDescent="0.2">
      <c r="A15" s="79"/>
      <c r="B15" s="79"/>
      <c r="C15" s="79"/>
      <c r="D15" s="79"/>
      <c r="E15" s="79"/>
      <c r="F15" s="79"/>
      <c r="G15" s="79"/>
      <c r="H15" s="79"/>
      <c r="I15" s="79"/>
      <c r="J15" s="79"/>
      <c r="K15" s="79"/>
      <c r="L15" s="79"/>
      <c r="M15" s="79"/>
      <c r="N15" s="79"/>
      <c r="O15" s="79"/>
      <c r="P15" s="79"/>
      <c r="Q15" s="79"/>
      <c r="R15" s="79"/>
    </row>
    <row r="16" spans="1:21" x14ac:dyDescent="0.2">
      <c r="A16" s="79" t="s">
        <v>1009</v>
      </c>
      <c r="B16" s="79" t="s">
        <v>1004</v>
      </c>
      <c r="C16" s="80">
        <v>8684707</v>
      </c>
      <c r="D16" s="80">
        <v>11420585</v>
      </c>
      <c r="E16" s="80">
        <v>15438446</v>
      </c>
      <c r="F16" s="80">
        <v>15992755</v>
      </c>
      <c r="G16" s="80">
        <v>15089537</v>
      </c>
      <c r="H16" s="80">
        <v>16364798</v>
      </c>
      <c r="I16" s="80">
        <v>17808150</v>
      </c>
      <c r="J16" s="80">
        <v>22588609</v>
      </c>
      <c r="K16" s="80">
        <v>13814405</v>
      </c>
      <c r="L16" s="80">
        <v>23303714</v>
      </c>
      <c r="M16" s="80">
        <f>0.31009361875521*M5</f>
        <v>29842535.169176124</v>
      </c>
      <c r="N16" s="80">
        <f t="shared" ref="N16:R16" si="9">M16+N17</f>
        <v>30615691.091139704</v>
      </c>
      <c r="O16" s="80">
        <f t="shared" si="9"/>
        <v>32817171.78385099</v>
      </c>
      <c r="P16" s="80">
        <f t="shared" si="9"/>
        <v>34217097.671822108</v>
      </c>
      <c r="Q16" s="80">
        <f t="shared" si="9"/>
        <v>35305725.27430252</v>
      </c>
      <c r="R16" s="80">
        <f t="shared" si="9"/>
        <v>36434470.081541531</v>
      </c>
    </row>
    <row r="17" spans="1:21" x14ac:dyDescent="0.2">
      <c r="A17" s="79"/>
      <c r="B17" s="79" t="s">
        <v>128</v>
      </c>
      <c r="C17" s="79"/>
      <c r="D17" s="80">
        <f>D16-C16</f>
        <v>2735878</v>
      </c>
      <c r="E17" s="80">
        <f t="shared" ref="E17:L17" si="10">E16-D16</f>
        <v>4017861</v>
      </c>
      <c r="F17" s="80">
        <f t="shared" si="10"/>
        <v>554309</v>
      </c>
      <c r="G17" s="80">
        <f t="shared" si="10"/>
        <v>-903218</v>
      </c>
      <c r="H17" s="80">
        <f t="shared" si="10"/>
        <v>1275261</v>
      </c>
      <c r="I17" s="80">
        <f t="shared" si="10"/>
        <v>1443352</v>
      </c>
      <c r="J17" s="80">
        <f t="shared" si="10"/>
        <v>4780459</v>
      </c>
      <c r="K17" s="80">
        <f t="shared" si="10"/>
        <v>-8774204</v>
      </c>
      <c r="L17" s="80">
        <f t="shared" si="10"/>
        <v>9489309</v>
      </c>
      <c r="M17" s="80">
        <f>M16-L16</f>
        <v>6538821.169176124</v>
      </c>
      <c r="N17" s="85">
        <f t="shared" ref="N17:R17" si="11">N20*N7</f>
        <v>773155.92196358135</v>
      </c>
      <c r="O17" s="85">
        <f t="shared" si="11"/>
        <v>2201480.6927112848</v>
      </c>
      <c r="P17" s="85">
        <f t="shared" si="11"/>
        <v>1399925.8879711211</v>
      </c>
      <c r="Q17" s="85">
        <f t="shared" si="11"/>
        <v>1088627.6024804129</v>
      </c>
      <c r="R17" s="85">
        <f t="shared" si="11"/>
        <v>1128744.807239014</v>
      </c>
    </row>
    <row r="18" spans="1:21" x14ac:dyDescent="0.2">
      <c r="A18" s="79"/>
      <c r="B18" s="79" t="s">
        <v>1006</v>
      </c>
      <c r="C18" s="79"/>
      <c r="D18" s="81">
        <f t="shared" ref="D18:L18" si="12">D17/D7</f>
        <v>2.8264505712482957</v>
      </c>
      <c r="E18" s="81">
        <f t="shared" si="12"/>
        <v>0.73809279772878866</v>
      </c>
      <c r="F18" s="81">
        <f t="shared" si="12"/>
        <v>0.50568603652122623</v>
      </c>
      <c r="G18" s="81">
        <f t="shared" si="12"/>
        <v>0.16769898578770093</v>
      </c>
      <c r="H18" s="81">
        <f t="shared" si="12"/>
        <v>0.43024903861694297</v>
      </c>
      <c r="I18" s="81">
        <f t="shared" si="12"/>
        <v>0.35968262638846649</v>
      </c>
      <c r="J18" s="81">
        <f t="shared" si="12"/>
        <v>8.2580285676757264</v>
      </c>
      <c r="K18" s="81">
        <f t="shared" si="12"/>
        <v>0.18373818571370357</v>
      </c>
      <c r="L18" s="81">
        <f t="shared" si="12"/>
        <v>0.53679759388622139</v>
      </c>
      <c r="M18" s="81">
        <f>M17/$M$7</f>
        <v>0.21895316823617897</v>
      </c>
      <c r="N18" s="79"/>
      <c r="O18" s="79"/>
      <c r="P18" s="79"/>
      <c r="Q18" s="79"/>
      <c r="R18" s="79"/>
    </row>
    <row r="19" spans="1:21" x14ac:dyDescent="0.2">
      <c r="A19" s="79"/>
      <c r="B19" s="79" t="s">
        <v>1010</v>
      </c>
      <c r="C19" s="79"/>
      <c r="D19" s="81">
        <f t="shared" ref="D19:M19" si="13">D18/(D12+D18+D30)</f>
        <v>0.64432438186494534</v>
      </c>
      <c r="E19" s="81">
        <f t="shared" si="13"/>
        <v>0.5420989914019424</v>
      </c>
      <c r="F19" s="81">
        <f t="shared" si="13"/>
        <v>-2.2951138015129371</v>
      </c>
      <c r="G19" s="81">
        <f t="shared" si="13"/>
        <v>0.14045005321196902</v>
      </c>
      <c r="H19" s="81">
        <f t="shared" si="13"/>
        <v>0.84568229941371376</v>
      </c>
      <c r="I19" s="81">
        <f t="shared" si="13"/>
        <v>0.46149118984212406</v>
      </c>
      <c r="J19" s="81">
        <f t="shared" si="13"/>
        <v>0.48555012574845491</v>
      </c>
      <c r="K19" s="81">
        <f t="shared" si="13"/>
        <v>0.199299048788245</v>
      </c>
      <c r="L19" s="81">
        <f t="shared" si="13"/>
        <v>0.55199798264657218</v>
      </c>
      <c r="M19" s="81">
        <f t="shared" si="13"/>
        <v>0.2166329458451341</v>
      </c>
      <c r="N19" s="82"/>
      <c r="O19" s="82"/>
      <c r="P19" s="79"/>
      <c r="Q19" s="79"/>
      <c r="R19" s="79"/>
    </row>
    <row r="20" spans="1:21" x14ac:dyDescent="0.2">
      <c r="A20" s="79"/>
      <c r="B20" s="79" t="s">
        <v>1008</v>
      </c>
      <c r="C20" s="79"/>
      <c r="D20" s="81"/>
      <c r="E20" s="79"/>
      <c r="F20" s="79"/>
      <c r="G20" s="79"/>
      <c r="H20" s="79"/>
      <c r="I20" s="79"/>
      <c r="J20" s="79"/>
      <c r="K20" s="79"/>
      <c r="L20" s="86"/>
      <c r="M20" s="82">
        <f>SUMPRODUCT(D19:M19,$D$54:$M$54)</f>
        <v>0.27636465194566484</v>
      </c>
      <c r="N20" s="82">
        <f>$M20*(1-N$44-$N$36)</f>
        <v>0.27335787549680673</v>
      </c>
      <c r="O20" s="82">
        <f>$M20*(1-O$44-$N$36)</f>
        <v>0.26783058245789343</v>
      </c>
      <c r="P20" s="82">
        <f>$M20*(1-P$44-$N$36)</f>
        <v>0.26230328941898012</v>
      </c>
      <c r="Q20" s="82">
        <f>$M20*(1-Q$44-$N$36)</f>
        <v>0.26230328941898012</v>
      </c>
      <c r="R20" s="82">
        <f>$M20*(1-R$44-$N$36)</f>
        <v>0.26230328941898012</v>
      </c>
      <c r="U20" s="84"/>
    </row>
    <row r="21" spans="1:21" ht="16" x14ac:dyDescent="0.2">
      <c r="D21" s="87"/>
      <c r="L21" s="88"/>
      <c r="M21" s="84"/>
      <c r="N21" s="84"/>
      <c r="O21" s="84"/>
      <c r="P21" s="84"/>
      <c r="Q21" s="84"/>
      <c r="R21" s="84"/>
      <c r="U21" s="84"/>
    </row>
    <row r="22" spans="1:21" x14ac:dyDescent="0.2">
      <c r="A22" s="72" t="s">
        <v>43</v>
      </c>
      <c r="B22" s="72" t="s">
        <v>1004</v>
      </c>
      <c r="C22" s="65">
        <f>C10+C16</f>
        <v>37950960</v>
      </c>
      <c r="D22" s="65">
        <f t="shared" ref="D22:L22" si="14">D10+D16</f>
        <v>42343065</v>
      </c>
      <c r="E22" s="65">
        <f t="shared" si="14"/>
        <v>49099921</v>
      </c>
      <c r="F22" s="65">
        <f t="shared" si="14"/>
        <v>49825944</v>
      </c>
      <c r="G22" s="65">
        <f t="shared" si="14"/>
        <v>47089409</v>
      </c>
      <c r="H22" s="65">
        <f t="shared" si="14"/>
        <v>49584590</v>
      </c>
      <c r="I22" s="65">
        <f t="shared" si="14"/>
        <v>52066261</v>
      </c>
      <c r="J22" s="65">
        <f t="shared" si="14"/>
        <v>59017899</v>
      </c>
      <c r="K22" s="65">
        <f t="shared" si="14"/>
        <v>32653348</v>
      </c>
      <c r="L22" s="65">
        <f t="shared" si="14"/>
        <v>45418643</v>
      </c>
      <c r="M22" s="65">
        <f>M59*M5</f>
        <v>63080648.954131782</v>
      </c>
      <c r="N22" s="65">
        <f>M22+N23</f>
        <v>65135796.288827941</v>
      </c>
      <c r="O22" s="65">
        <f t="shared" ref="O22:R22" si="15">N22+O23</f>
        <v>70987720.876554742</v>
      </c>
      <c r="P22" s="65">
        <f t="shared" si="15"/>
        <v>74709042.311564177</v>
      </c>
      <c r="Q22" s="65">
        <f t="shared" si="15"/>
        <v>77602862.096356139</v>
      </c>
      <c r="R22" s="65">
        <f t="shared" si="15"/>
        <v>80603322.536388218</v>
      </c>
      <c r="U22" s="84"/>
    </row>
    <row r="23" spans="1:21" ht="16" x14ac:dyDescent="0.2">
      <c r="B23" s="72" t="s">
        <v>128</v>
      </c>
      <c r="D23" s="89">
        <f>D22-C22</f>
        <v>4392105</v>
      </c>
      <c r="E23" s="89">
        <f t="shared" ref="E23:M23" si="16">E22-D22</f>
        <v>6756856</v>
      </c>
      <c r="F23" s="89">
        <f t="shared" si="16"/>
        <v>726023</v>
      </c>
      <c r="G23" s="89">
        <f t="shared" si="16"/>
        <v>-2736535</v>
      </c>
      <c r="H23" s="89">
        <f t="shared" si="16"/>
        <v>2495181</v>
      </c>
      <c r="I23" s="89">
        <f t="shared" si="16"/>
        <v>2481671</v>
      </c>
      <c r="J23" s="89">
        <f t="shared" si="16"/>
        <v>6951638</v>
      </c>
      <c r="K23" s="89">
        <f t="shared" si="16"/>
        <v>-26364551</v>
      </c>
      <c r="L23" s="89">
        <f t="shared" si="16"/>
        <v>12765295</v>
      </c>
      <c r="M23" s="89">
        <f t="shared" si="16"/>
        <v>17662005.954131782</v>
      </c>
      <c r="N23" s="65">
        <f>N7*N26</f>
        <v>2055147.3346961571</v>
      </c>
      <c r="O23" s="65">
        <f t="shared" ref="O23:R23" si="17">O7*O26</f>
        <v>5851924.5877268007</v>
      </c>
      <c r="P23" s="65">
        <f t="shared" si="17"/>
        <v>3721321.4350094376</v>
      </c>
      <c r="Q23" s="65">
        <f t="shared" si="17"/>
        <v>2893819.7847919678</v>
      </c>
      <c r="R23" s="65">
        <f t="shared" si="17"/>
        <v>3000460.4400320859</v>
      </c>
      <c r="U23" s="84"/>
    </row>
    <row r="24" spans="1:21" ht="16" x14ac:dyDescent="0.2">
      <c r="B24" s="72" t="s">
        <v>1006</v>
      </c>
      <c r="D24" s="87">
        <f>D23/D7</f>
        <v>4.5375077712648357</v>
      </c>
      <c r="E24" s="87">
        <f t="shared" ref="E24:M24" si="18">E23/E7</f>
        <v>1.2412541770087495</v>
      </c>
      <c r="F24" s="87">
        <f t="shared" si="18"/>
        <v>0.66233760103705741</v>
      </c>
      <c r="G24" s="87">
        <f t="shared" si="18"/>
        <v>0.50808790798295222</v>
      </c>
      <c r="H24" s="87">
        <f t="shared" si="18"/>
        <v>0.84182706632231552</v>
      </c>
      <c r="I24" s="87">
        <f t="shared" si="18"/>
        <v>0.61843122336899947</v>
      </c>
      <c r="J24" s="87">
        <f t="shared" si="18"/>
        <v>12.008642934944145</v>
      </c>
      <c r="K24" s="87">
        <f t="shared" si="18"/>
        <v>0.55209279017178181</v>
      </c>
      <c r="L24" s="87">
        <f t="shared" si="18"/>
        <v>0.722115766411212</v>
      </c>
      <c r="M24" s="87">
        <f t="shared" si="18"/>
        <v>0.59141427193223928</v>
      </c>
      <c r="N24" s="84"/>
      <c r="O24" s="84"/>
      <c r="P24" s="84"/>
      <c r="Q24" s="84"/>
      <c r="R24" s="84"/>
      <c r="U24" s="84"/>
    </row>
    <row r="25" spans="1:21" ht="16" x14ac:dyDescent="0.2">
      <c r="B25" s="72" t="s">
        <v>1008</v>
      </c>
      <c r="D25" s="87"/>
      <c r="L25" s="88"/>
      <c r="M25" s="84">
        <f>SUMPRODUCT(D$54:M$54,D24:M24)</f>
        <v>2.0813619614700176</v>
      </c>
      <c r="N25" s="84"/>
      <c r="O25" s="84"/>
      <c r="P25" s="84"/>
      <c r="Q25" s="84"/>
      <c r="R25" s="84"/>
      <c r="U25" s="84"/>
    </row>
    <row r="26" spans="1:21" ht="16" x14ac:dyDescent="0.2">
      <c r="B26" s="72" t="s">
        <v>1011</v>
      </c>
      <c r="D26" s="87"/>
      <c r="L26" s="88"/>
      <c r="M26" s="84">
        <f>M25/(M25+M31)</f>
        <v>0.73395979614696438</v>
      </c>
      <c r="N26" s="90">
        <f>$M$26-$M$26*N49</f>
        <v>0.72662019818549473</v>
      </c>
      <c r="O26" s="90">
        <f t="shared" ref="O26:R26" si="19">$M$26*(1-O49)</f>
        <v>0.71194100226255541</v>
      </c>
      <c r="P26" s="90">
        <f t="shared" si="19"/>
        <v>0.6972618063396161</v>
      </c>
      <c r="Q26" s="90">
        <f t="shared" si="19"/>
        <v>0.6972618063396161</v>
      </c>
      <c r="R26" s="90">
        <f t="shared" si="19"/>
        <v>0.6972618063396161</v>
      </c>
      <c r="U26" s="84"/>
    </row>
    <row r="28" spans="1:21" x14ac:dyDescent="0.2">
      <c r="A28" s="72" t="s">
        <v>44</v>
      </c>
      <c r="B28" s="72" t="s">
        <v>1004</v>
      </c>
      <c r="C28" s="65">
        <v>35083621</v>
      </c>
      <c r="D28" s="65">
        <v>34937635</v>
      </c>
      <c r="E28" s="65">
        <v>35592453</v>
      </c>
      <c r="F28" s="65">
        <v>34624913</v>
      </c>
      <c r="G28" s="65">
        <v>30930564</v>
      </c>
      <c r="H28" s="65">
        <v>29943350</v>
      </c>
      <c r="I28" s="65">
        <v>30589262</v>
      </c>
      <c r="J28" s="65">
        <v>33483073</v>
      </c>
      <c r="K28" s="65">
        <v>15822306</v>
      </c>
      <c r="L28" s="65">
        <v>20247851</v>
      </c>
      <c r="M28" s="65">
        <f>M60*M5</f>
        <v>32769717.326544225</v>
      </c>
      <c r="N28" s="65">
        <f>M28+N29</f>
        <v>33514651.611420382</v>
      </c>
      <c r="O28" s="65">
        <f t="shared" ref="O28:R28" si="20">N28+O29</f>
        <v>35635813.040730737</v>
      </c>
      <c r="P28" s="65">
        <f t="shared" si="20"/>
        <v>36984689.530110471</v>
      </c>
      <c r="Q28" s="65">
        <f t="shared" si="20"/>
        <v>38033619.470825978</v>
      </c>
      <c r="R28" s="65">
        <f t="shared" si="20"/>
        <v>39121203.710875101</v>
      </c>
    </row>
    <row r="29" spans="1:21" x14ac:dyDescent="0.2">
      <c r="B29" s="72" t="s">
        <v>128</v>
      </c>
      <c r="D29" s="65">
        <f>D28-C28</f>
        <v>-145986</v>
      </c>
      <c r="E29" s="65">
        <f t="shared" ref="E29:L29" si="21">E28-D28</f>
        <v>654818</v>
      </c>
      <c r="F29" s="65">
        <f t="shared" si="21"/>
        <v>-967540</v>
      </c>
      <c r="G29" s="65">
        <f t="shared" si="21"/>
        <v>-3694349</v>
      </c>
      <c r="H29" s="65">
        <f t="shared" si="21"/>
        <v>-987214</v>
      </c>
      <c r="I29" s="65">
        <f t="shared" si="21"/>
        <v>645912</v>
      </c>
      <c r="J29" s="65">
        <f t="shared" si="21"/>
        <v>2893811</v>
      </c>
      <c r="K29" s="65">
        <f t="shared" si="21"/>
        <v>-17660767</v>
      </c>
      <c r="L29" s="65">
        <f t="shared" si="21"/>
        <v>4425545</v>
      </c>
      <c r="M29" s="65">
        <f>M28-L28</f>
        <v>12521866.326544225</v>
      </c>
      <c r="N29" s="65">
        <f>N7*N32</f>
        <v>744934.2848761566</v>
      </c>
      <c r="O29" s="65">
        <f t="shared" ref="O29:R29" si="22">O7*O32</f>
        <v>2121161.4293103525</v>
      </c>
      <c r="P29" s="65">
        <f t="shared" si="22"/>
        <v>1348876.4893797331</v>
      </c>
      <c r="Q29" s="65">
        <f t="shared" si="22"/>
        <v>1048929.9407155097</v>
      </c>
      <c r="R29" s="65">
        <f t="shared" si="22"/>
        <v>1087584.2400491226</v>
      </c>
    </row>
    <row r="30" spans="1:21" ht="16" x14ac:dyDescent="0.2">
      <c r="B30" s="72" t="s">
        <v>1006</v>
      </c>
      <c r="D30" s="87">
        <f t="shared" ref="D30:L30" si="23">D29/D7</f>
        <v>-0.15081893750169184</v>
      </c>
      <c r="E30" s="87">
        <f t="shared" si="23"/>
        <v>0.1202919786481339</v>
      </c>
      <c r="F30" s="87">
        <f t="shared" si="23"/>
        <v>-0.88266917509141518</v>
      </c>
      <c r="G30" s="87">
        <f t="shared" si="23"/>
        <v>0.68592364240505299</v>
      </c>
      <c r="H30" s="87">
        <f t="shared" si="23"/>
        <v>-0.33306740691449571</v>
      </c>
      <c r="I30" s="87">
        <f t="shared" si="23"/>
        <v>0.16096096071909499</v>
      </c>
      <c r="J30" s="87">
        <f t="shared" si="23"/>
        <v>4.9989287445942461</v>
      </c>
      <c r="K30" s="87">
        <f t="shared" si="23"/>
        <v>0.36982925025363522</v>
      </c>
      <c r="L30" s="87">
        <f t="shared" si="23"/>
        <v>0.25034719679116757</v>
      </c>
      <c r="M30" s="91">
        <f>M29/M7</f>
        <v>0.41929611370182651</v>
      </c>
    </row>
    <row r="31" spans="1:21" ht="16" x14ac:dyDescent="0.2">
      <c r="B31" s="72" t="s">
        <v>1008</v>
      </c>
      <c r="D31" s="87"/>
      <c r="E31" s="87"/>
      <c r="F31" s="87"/>
      <c r="G31" s="87"/>
      <c r="H31" s="87"/>
      <c r="I31" s="87"/>
      <c r="J31" s="87"/>
      <c r="K31" s="87"/>
      <c r="L31" s="92"/>
      <c r="M31" s="84">
        <f>SUMPRODUCT($D$54:$M$54,D30:M30)</f>
        <v>0.75443636480950027</v>
      </c>
      <c r="N31" s="84"/>
      <c r="O31" s="84"/>
      <c r="P31" s="84"/>
      <c r="Q31" s="84"/>
      <c r="R31" s="84"/>
      <c r="U31" s="84"/>
    </row>
    <row r="32" spans="1:21" ht="16" x14ac:dyDescent="0.2">
      <c r="B32" s="72" t="s">
        <v>1011</v>
      </c>
      <c r="D32" s="87"/>
      <c r="E32" s="87"/>
      <c r="F32" s="87"/>
      <c r="G32" s="87"/>
      <c r="H32" s="87"/>
      <c r="I32" s="87"/>
      <c r="J32" s="87"/>
      <c r="K32" s="87"/>
      <c r="L32" s="92"/>
      <c r="M32" s="84">
        <f>M31/(M31+M25)</f>
        <v>0.26604020385303567</v>
      </c>
      <c r="N32" s="90">
        <f>$M$32*(1-N49)</f>
        <v>0.26337980181450532</v>
      </c>
      <c r="O32" s="90">
        <f t="shared" ref="O32:R32" si="24">$M$32*(1-O49)</f>
        <v>0.25805899773744462</v>
      </c>
      <c r="P32" s="90">
        <f t="shared" si="24"/>
        <v>0.25273819366038386</v>
      </c>
      <c r="Q32" s="90">
        <f t="shared" si="24"/>
        <v>0.25273819366038386</v>
      </c>
      <c r="R32" s="90">
        <f t="shared" si="24"/>
        <v>0.25273819366038386</v>
      </c>
      <c r="T32" s="84"/>
    </row>
    <row r="33" spans="1:20" ht="16" x14ac:dyDescent="0.2">
      <c r="D33" s="87"/>
      <c r="E33" s="87"/>
      <c r="F33" s="87"/>
      <c r="G33" s="87"/>
      <c r="H33" s="87"/>
      <c r="I33" s="87"/>
      <c r="J33" s="87"/>
      <c r="K33" s="87"/>
      <c r="L33" s="92"/>
      <c r="M33" s="84"/>
      <c r="N33" s="84"/>
      <c r="O33" s="84"/>
      <c r="P33" s="87"/>
      <c r="Q33" s="87"/>
      <c r="R33" s="87"/>
      <c r="T33" s="84"/>
    </row>
    <row r="34" spans="1:20" x14ac:dyDescent="0.2">
      <c r="A34" s="79" t="s">
        <v>1012</v>
      </c>
      <c r="B34" s="79" t="s">
        <v>1004</v>
      </c>
      <c r="C34" s="80">
        <v>467684</v>
      </c>
      <c r="D34" s="80">
        <v>420876</v>
      </c>
      <c r="E34" s="80">
        <v>520810</v>
      </c>
      <c r="F34" s="80">
        <v>749536</v>
      </c>
      <c r="G34" s="80">
        <v>566167</v>
      </c>
      <c r="H34" s="80">
        <v>351156</v>
      </c>
      <c r="I34" s="80">
        <v>283988</v>
      </c>
      <c r="J34" s="80">
        <v>275303</v>
      </c>
      <c r="K34" s="80">
        <v>150414</v>
      </c>
      <c r="L34" s="80">
        <v>202754</v>
      </c>
      <c r="M34" s="80">
        <v>229026.66666666666</v>
      </c>
      <c r="N34" s="80">
        <f>M34+N35</f>
        <v>231514.9018448393</v>
      </c>
      <c r="O34" s="80">
        <f t="shared" ref="O34:R34" si="25">N34+O35</f>
        <v>238746.10636381604</v>
      </c>
      <c r="P34" s="80">
        <f t="shared" si="25"/>
        <v>243441.34032079624</v>
      </c>
      <c r="Q34" s="80">
        <f t="shared" si="25"/>
        <v>247092.50595005663</v>
      </c>
      <c r="R34" s="80">
        <f t="shared" si="25"/>
        <v>250878.22131774257</v>
      </c>
      <c r="T34" s="84"/>
    </row>
    <row r="35" spans="1:20" x14ac:dyDescent="0.2">
      <c r="A35" s="79"/>
      <c r="B35" s="79" t="s">
        <v>128</v>
      </c>
      <c r="C35" s="79"/>
      <c r="D35" s="93">
        <f>D34-C34</f>
        <v>-46808</v>
      </c>
      <c r="E35" s="93">
        <f t="shared" ref="E35:L35" si="26">E34-D34</f>
        <v>99934</v>
      </c>
      <c r="F35" s="93">
        <f t="shared" si="26"/>
        <v>228726</v>
      </c>
      <c r="G35" s="93">
        <f t="shared" si="26"/>
        <v>-183369</v>
      </c>
      <c r="H35" s="93">
        <f t="shared" si="26"/>
        <v>-215011</v>
      </c>
      <c r="I35" s="93">
        <f t="shared" si="26"/>
        <v>-67168</v>
      </c>
      <c r="J35" s="93">
        <f t="shared" si="26"/>
        <v>-8685</v>
      </c>
      <c r="K35" s="93">
        <f t="shared" si="26"/>
        <v>-124889</v>
      </c>
      <c r="L35" s="93">
        <f t="shared" si="26"/>
        <v>52340</v>
      </c>
      <c r="M35" s="80">
        <f>M34-L34</f>
        <v>26272.666666666657</v>
      </c>
      <c r="N35" s="93">
        <f>N36*N7</f>
        <v>2488.2351781726425</v>
      </c>
      <c r="O35" s="93">
        <f>O36*O7</f>
        <v>7231.2045189767368</v>
      </c>
      <c r="P35" s="93">
        <f>P36*P7</f>
        <v>4695.2339569801934</v>
      </c>
      <c r="Q35" s="93">
        <f>Q36*Q7</f>
        <v>3651.165629260377</v>
      </c>
      <c r="R35" s="93">
        <f>R36*R7</f>
        <v>3785.7153676859562</v>
      </c>
      <c r="T35" s="84"/>
    </row>
    <row r="36" spans="1:20" x14ac:dyDescent="0.2">
      <c r="A36" s="79"/>
      <c r="B36" s="79" t="s">
        <v>1006</v>
      </c>
      <c r="C36" s="79"/>
      <c r="D36" s="94">
        <f t="shared" ref="D36:L36" si="27">D35/D7</f>
        <v>-4.8357601595900926E-2</v>
      </c>
      <c r="E36" s="94">
        <f t="shared" si="27"/>
        <v>1.8358167604162704E-2</v>
      </c>
      <c r="F36" s="94">
        <f t="shared" si="27"/>
        <v>0.20866257699108981</v>
      </c>
      <c r="G36" s="94">
        <f t="shared" si="27"/>
        <v>3.4045817648568705E-2</v>
      </c>
      <c r="H36" s="94">
        <f t="shared" si="27"/>
        <v>-7.2540661121188149E-2</v>
      </c>
      <c r="I36" s="94">
        <f t="shared" si="27"/>
        <v>-1.6738233396469133E-2</v>
      </c>
      <c r="J36" s="94">
        <f t="shared" si="27"/>
        <v>-1.5002948066339171E-2</v>
      </c>
      <c r="K36" s="94">
        <f t="shared" si="27"/>
        <v>2.6152660999902355E-3</v>
      </c>
      <c r="L36" s="94">
        <f t="shared" si="27"/>
        <v>2.9608042128256994E-3</v>
      </c>
      <c r="M36" s="94">
        <f>M35/$M$7</f>
        <v>8.7974322218763406E-4</v>
      </c>
      <c r="N36" s="82">
        <f>$M$36</f>
        <v>8.7974322218763406E-4</v>
      </c>
      <c r="O36" s="82">
        <f t="shared" ref="O36:R36" si="28">$M$36</f>
        <v>8.7974322218763406E-4</v>
      </c>
      <c r="P36" s="82">
        <f t="shared" si="28"/>
        <v>8.7974322218763406E-4</v>
      </c>
      <c r="Q36" s="82">
        <f t="shared" si="28"/>
        <v>8.7974322218763406E-4</v>
      </c>
      <c r="R36" s="82">
        <f t="shared" si="28"/>
        <v>8.7974322218763406E-4</v>
      </c>
      <c r="T36" s="84"/>
    </row>
    <row r="37" spans="1:20" x14ac:dyDescent="0.2">
      <c r="A37" s="79"/>
      <c r="B37" s="79"/>
      <c r="C37" s="79"/>
      <c r="D37" s="94"/>
      <c r="E37" s="94"/>
      <c r="F37" s="94"/>
      <c r="G37" s="94"/>
      <c r="H37" s="94"/>
      <c r="I37" s="94"/>
      <c r="J37" s="94"/>
      <c r="K37" s="94"/>
      <c r="L37" s="95"/>
      <c r="M37" s="82"/>
      <c r="N37" s="82"/>
      <c r="O37" s="82"/>
      <c r="P37" s="94"/>
      <c r="Q37" s="94"/>
      <c r="R37" s="94"/>
      <c r="T37" s="84"/>
    </row>
    <row r="38" spans="1:20" x14ac:dyDescent="0.2">
      <c r="A38" s="79" t="s">
        <v>1013</v>
      </c>
      <c r="B38" s="79" t="s">
        <v>1004</v>
      </c>
      <c r="C38" s="80">
        <v>4670242</v>
      </c>
      <c r="D38" s="80">
        <v>6318866</v>
      </c>
      <c r="E38" s="80">
        <v>7826986</v>
      </c>
      <c r="F38" s="80">
        <v>8926701</v>
      </c>
      <c r="G38" s="80">
        <v>10205055</v>
      </c>
      <c r="H38" s="80">
        <v>11878795</v>
      </c>
      <c r="I38" s="80">
        <v>12822257</v>
      </c>
      <c r="J38" s="80">
        <v>3553676</v>
      </c>
      <c r="K38" s="79"/>
      <c r="L38" s="79"/>
      <c r="M38" s="82"/>
      <c r="N38" s="82"/>
      <c r="O38" s="82"/>
      <c r="P38" s="94"/>
      <c r="Q38" s="94"/>
      <c r="R38" s="94"/>
      <c r="T38" s="84"/>
    </row>
    <row r="39" spans="1:20" x14ac:dyDescent="0.2">
      <c r="A39" s="79"/>
      <c r="B39" s="79" t="s">
        <v>1014</v>
      </c>
      <c r="C39" s="80"/>
      <c r="D39" s="80">
        <f>D38-C38</f>
        <v>1648624</v>
      </c>
      <c r="E39" s="80">
        <f t="shared" ref="E39:K39" si="29">E38-D38</f>
        <v>1508120</v>
      </c>
      <c r="F39" s="80">
        <f t="shared" si="29"/>
        <v>1099715</v>
      </c>
      <c r="G39" s="80">
        <f t="shared" si="29"/>
        <v>1278354</v>
      </c>
      <c r="H39" s="80">
        <f t="shared" si="29"/>
        <v>1673740</v>
      </c>
      <c r="I39" s="80">
        <f t="shared" si="29"/>
        <v>943462</v>
      </c>
      <c r="J39" s="80">
        <f t="shared" si="29"/>
        <v>-9268581</v>
      </c>
      <c r="K39" s="80">
        <f t="shared" si="29"/>
        <v>-3553676</v>
      </c>
      <c r="L39" s="79"/>
      <c r="M39" s="82"/>
      <c r="N39" s="82"/>
      <c r="O39" s="82"/>
      <c r="P39" s="94"/>
      <c r="Q39" s="94"/>
      <c r="R39" s="94"/>
      <c r="T39" s="84"/>
    </row>
    <row r="40" spans="1:20" x14ac:dyDescent="0.2">
      <c r="A40" s="79"/>
      <c r="B40" s="79" t="s">
        <v>1015</v>
      </c>
      <c r="C40" s="80"/>
      <c r="D40" s="94">
        <f t="shared" ref="D40:K40" si="30">D39/D7</f>
        <v>1.7032024990053103</v>
      </c>
      <c r="E40" s="94">
        <f t="shared" si="30"/>
        <v>0.27704604766335639</v>
      </c>
      <c r="F40" s="94">
        <f t="shared" si="30"/>
        <v>1.0032500277876424</v>
      </c>
      <c r="G40" s="94">
        <f t="shared" si="30"/>
        <v>-0.23734986379550743</v>
      </c>
      <c r="H40" s="94">
        <f t="shared" si="30"/>
        <v>0.56468834685191671</v>
      </c>
      <c r="I40" s="94">
        <f t="shared" si="30"/>
        <v>0.23511027805948612</v>
      </c>
      <c r="J40" s="94">
        <f t="shared" si="30"/>
        <v>-16.011058076183993</v>
      </c>
      <c r="K40" s="94">
        <f t="shared" si="30"/>
        <v>7.4416548880597178E-2</v>
      </c>
      <c r="L40" s="79"/>
      <c r="M40" s="82"/>
      <c r="N40" s="82"/>
      <c r="O40" s="82"/>
      <c r="P40" s="94"/>
      <c r="Q40" s="94"/>
      <c r="R40" s="94"/>
      <c r="T40" s="84"/>
    </row>
    <row r="41" spans="1:20" x14ac:dyDescent="0.2">
      <c r="A41" s="79"/>
      <c r="B41" s="79"/>
      <c r="C41" s="80"/>
      <c r="D41" s="80"/>
      <c r="E41" s="80"/>
      <c r="F41" s="80"/>
      <c r="G41" s="80"/>
      <c r="H41" s="80"/>
      <c r="I41" s="80"/>
      <c r="J41" s="80"/>
      <c r="K41" s="79"/>
      <c r="L41" s="79"/>
      <c r="M41" s="82"/>
      <c r="N41" s="82"/>
      <c r="O41" s="82"/>
      <c r="P41" s="94"/>
      <c r="Q41" s="94"/>
      <c r="R41" s="94"/>
      <c r="T41" s="84"/>
    </row>
    <row r="42" spans="1:20" x14ac:dyDescent="0.2">
      <c r="A42" s="79" t="s">
        <v>45</v>
      </c>
      <c r="B42" s="79" t="s">
        <v>1004</v>
      </c>
      <c r="C42" s="80">
        <f t="shared" ref="C42:L42" si="31">C5-C10-C16-C28-C34-C38</f>
        <v>8599392.7699999958</v>
      </c>
      <c r="D42" s="80">
        <f t="shared" si="31"/>
        <v>3719413.1369999945</v>
      </c>
      <c r="E42" s="80">
        <f t="shared" si="31"/>
        <v>143256.74799999595</v>
      </c>
      <c r="F42" s="80">
        <f t="shared" si="31"/>
        <v>152485.22200000286</v>
      </c>
      <c r="G42" s="80">
        <f t="shared" si="31"/>
        <v>102436.32400000095</v>
      </c>
      <c r="H42" s="80">
        <f t="shared" si="31"/>
        <v>99746.946999996901</v>
      </c>
      <c r="I42" s="80">
        <f t="shared" si="31"/>
        <v>108718.75900000334</v>
      </c>
      <c r="J42" s="80">
        <f t="shared" si="31"/>
        <v>119421.98600000143</v>
      </c>
      <c r="K42" s="80">
        <f t="shared" si="31"/>
        <v>69464.56400000304</v>
      </c>
      <c r="L42" s="80">
        <f t="shared" si="31"/>
        <v>503914.09899999946</v>
      </c>
      <c r="M42" s="80">
        <v>136158.82666666555</v>
      </c>
      <c r="N42" s="80">
        <f>M42+N43</f>
        <v>164442.47938961821</v>
      </c>
      <c r="O42" s="80">
        <f t="shared" ref="O42:R42" si="32">N42+O43</f>
        <v>411032.76857633429</v>
      </c>
      <c r="P42" s="80">
        <f t="shared" si="32"/>
        <v>677885.29091260652</v>
      </c>
      <c r="Q42" s="80">
        <f t="shared" si="32"/>
        <v>885398.43436036853</v>
      </c>
      <c r="R42" s="80">
        <f t="shared" si="32"/>
        <v>1100558.6806804321</v>
      </c>
      <c r="T42" s="84"/>
    </row>
    <row r="43" spans="1:20" x14ac:dyDescent="0.2">
      <c r="A43" s="79"/>
      <c r="B43" s="79" t="s">
        <v>128</v>
      </c>
      <c r="C43" s="79"/>
      <c r="D43" s="93">
        <f>D42-C42</f>
        <v>-4879979.6330000013</v>
      </c>
      <c r="E43" s="93">
        <f t="shared" ref="E43:L43" si="33">E42-D42</f>
        <v>-3576156.3889999986</v>
      </c>
      <c r="F43" s="93">
        <f t="shared" si="33"/>
        <v>9228.4740000069141</v>
      </c>
      <c r="G43" s="93">
        <f t="shared" si="33"/>
        <v>-50048.898000001907</v>
      </c>
      <c r="H43" s="93">
        <f t="shared" si="33"/>
        <v>-2689.3770000040531</v>
      </c>
      <c r="I43" s="93">
        <f t="shared" si="33"/>
        <v>8971.8120000064373</v>
      </c>
      <c r="J43" s="93">
        <f t="shared" si="33"/>
        <v>10703.226999998093</v>
      </c>
      <c r="K43" s="93">
        <f t="shared" si="33"/>
        <v>-49957.421999998391</v>
      </c>
      <c r="L43" s="93">
        <f t="shared" si="33"/>
        <v>434449.53499999642</v>
      </c>
      <c r="M43" s="80">
        <f>M42-L42</f>
        <v>-367755.27233333391</v>
      </c>
      <c r="N43" s="80">
        <f>N44*N7</f>
        <v>28283.652722952665</v>
      </c>
      <c r="O43" s="80">
        <f>O44*O7</f>
        <v>246590.28918671608</v>
      </c>
      <c r="P43" s="80">
        <f>P44*P7</f>
        <v>266852.52233627217</v>
      </c>
      <c r="Q43" s="80">
        <f>Q44*Q7</f>
        <v>207513.14344776201</v>
      </c>
      <c r="R43" s="80">
        <f>R44*R7</f>
        <v>215160.24632006363</v>
      </c>
      <c r="T43" s="84"/>
    </row>
    <row r="44" spans="1:20" x14ac:dyDescent="0.2">
      <c r="A44" s="79"/>
      <c r="B44" s="79" t="s">
        <v>1006</v>
      </c>
      <c r="C44" s="79"/>
      <c r="D44" s="94">
        <f t="shared" ref="D44:L44" si="34">D43/D7</f>
        <v>-5.041533731172553</v>
      </c>
      <c r="E44" s="94">
        <f t="shared" si="34"/>
        <v>-0.65695037092440256</v>
      </c>
      <c r="F44" s="94">
        <f t="shared" si="34"/>
        <v>8.4189692756254791E-3</v>
      </c>
      <c r="G44" s="94">
        <f t="shared" si="34"/>
        <v>9.2924957589335163E-3</v>
      </c>
      <c r="H44" s="94">
        <f t="shared" si="34"/>
        <v>-9.0734513854831447E-4</v>
      </c>
      <c r="I44" s="94">
        <f t="shared" si="34"/>
        <v>2.2357712488886121E-3</v>
      </c>
      <c r="J44" s="94">
        <f t="shared" si="34"/>
        <v>1.8489344711941347E-2</v>
      </c>
      <c r="K44" s="94">
        <f t="shared" si="34"/>
        <v>1.0461445939954855E-3</v>
      </c>
      <c r="L44" s="94">
        <f t="shared" si="34"/>
        <v>2.457623258479472E-2</v>
      </c>
      <c r="M44" s="94">
        <f>M43/$M$7</f>
        <v>-1.2314326991005283E-2</v>
      </c>
      <c r="N44" s="82">
        <v>0.01</v>
      </c>
      <c r="O44" s="82">
        <v>0.03</v>
      </c>
      <c r="P44" s="94">
        <v>0.05</v>
      </c>
      <c r="Q44" s="94">
        <v>0.05</v>
      </c>
      <c r="R44" s="94">
        <v>0.05</v>
      </c>
    </row>
    <row r="45" spans="1:20" ht="16" x14ac:dyDescent="0.2">
      <c r="D45" s="87"/>
      <c r="E45" s="87"/>
      <c r="F45" s="87"/>
      <c r="G45" s="87"/>
      <c r="H45" s="87"/>
      <c r="I45" s="87"/>
      <c r="J45" s="87"/>
      <c r="K45" s="87"/>
      <c r="L45" s="87"/>
      <c r="M45" s="84"/>
      <c r="N45" s="84"/>
      <c r="O45" s="84"/>
      <c r="P45" s="87"/>
      <c r="Q45" s="87"/>
      <c r="R45" s="87"/>
      <c r="T45" s="84"/>
    </row>
    <row r="46" spans="1:20" x14ac:dyDescent="0.2">
      <c r="A46" s="72" t="s">
        <v>1016</v>
      </c>
      <c r="B46" s="72" t="s">
        <v>1004</v>
      </c>
      <c r="C46" s="65">
        <f>C34+C38+C42</f>
        <v>13737318.769999996</v>
      </c>
      <c r="D46" s="65">
        <f t="shared" ref="D46:L46" si="35">D34+D38+D42</f>
        <v>10459155.136999995</v>
      </c>
      <c r="E46" s="65">
        <f t="shared" si="35"/>
        <v>8491052.7479999959</v>
      </c>
      <c r="F46" s="65">
        <f t="shared" si="35"/>
        <v>9828722.2220000029</v>
      </c>
      <c r="G46" s="65">
        <f t="shared" si="35"/>
        <v>10873658.324000001</v>
      </c>
      <c r="H46" s="65">
        <f t="shared" si="35"/>
        <v>12329697.946999997</v>
      </c>
      <c r="I46" s="65">
        <f t="shared" si="35"/>
        <v>13214963.759000003</v>
      </c>
      <c r="J46" s="65">
        <f t="shared" si="35"/>
        <v>3948400.9860000014</v>
      </c>
      <c r="K46" s="65">
        <f t="shared" si="35"/>
        <v>219878.56400000304</v>
      </c>
      <c r="L46" s="65">
        <f t="shared" si="35"/>
        <v>706668.09899999946</v>
      </c>
      <c r="M46" s="65">
        <f>M61*M5</f>
        <v>386812.95884269488</v>
      </c>
      <c r="N46" s="65">
        <f>M46+N47</f>
        <v>415096.61156564753</v>
      </c>
      <c r="O46" s="65">
        <f t="shared" ref="O46:R46" si="36">N46+O47</f>
        <v>661686.90075236361</v>
      </c>
      <c r="P46" s="65">
        <f t="shared" si="36"/>
        <v>928539.42308863578</v>
      </c>
      <c r="Q46" s="65">
        <f t="shared" si="36"/>
        <v>1136052.5665363977</v>
      </c>
      <c r="R46" s="65">
        <f t="shared" si="36"/>
        <v>1351212.8128564614</v>
      </c>
      <c r="T46" s="84"/>
    </row>
    <row r="47" spans="1:20" x14ac:dyDescent="0.2">
      <c r="B47" s="72" t="s">
        <v>128</v>
      </c>
      <c r="C47" s="65"/>
      <c r="D47" s="65">
        <f>D46-C46</f>
        <v>-3278163.6330000013</v>
      </c>
      <c r="E47" s="65">
        <f t="shared" ref="E47:M47" si="37">E46-D46</f>
        <v>-1968102.3889999986</v>
      </c>
      <c r="F47" s="65">
        <f t="shared" si="37"/>
        <v>1337669.4740000069</v>
      </c>
      <c r="G47" s="65">
        <f t="shared" si="37"/>
        <v>1044936.1019999981</v>
      </c>
      <c r="H47" s="65">
        <f t="shared" si="37"/>
        <v>1456039.6229999959</v>
      </c>
      <c r="I47" s="65">
        <f t="shared" si="37"/>
        <v>885265.81200000644</v>
      </c>
      <c r="J47" s="65">
        <f t="shared" si="37"/>
        <v>-9266562.7730000019</v>
      </c>
      <c r="K47" s="65">
        <f t="shared" si="37"/>
        <v>-3728522.4219999984</v>
      </c>
      <c r="L47" s="65">
        <f t="shared" si="37"/>
        <v>486789.53499999642</v>
      </c>
      <c r="M47" s="65">
        <f t="shared" si="37"/>
        <v>-319855.14015730459</v>
      </c>
      <c r="N47" s="65">
        <f>N49*N7</f>
        <v>28283.652722952665</v>
      </c>
      <c r="O47" s="65">
        <f t="shared" ref="O47:R47" si="38">O49*O7</f>
        <v>246590.28918671608</v>
      </c>
      <c r="P47" s="65">
        <f t="shared" si="38"/>
        <v>266852.52233627217</v>
      </c>
      <c r="Q47" s="65">
        <f t="shared" si="38"/>
        <v>207513.14344776201</v>
      </c>
      <c r="R47" s="65">
        <f t="shared" si="38"/>
        <v>215160.24632006363</v>
      </c>
      <c r="T47" s="84"/>
    </row>
    <row r="48" spans="1:20" ht="16" x14ac:dyDescent="0.2">
      <c r="B48" s="72" t="s">
        <v>1006</v>
      </c>
      <c r="C48" s="65"/>
      <c r="D48" s="87">
        <f t="shared" ref="D48:M48" si="39">D47/D7</f>
        <v>-3.3866888337631438</v>
      </c>
      <c r="E48" s="87">
        <f t="shared" si="39"/>
        <v>-0.36154615565688347</v>
      </c>
      <c r="F48" s="87">
        <f t="shared" si="39"/>
        <v>1.2203315740543577</v>
      </c>
      <c r="G48" s="87">
        <f t="shared" si="39"/>
        <v>-0.19401155038800522</v>
      </c>
      <c r="H48" s="87">
        <f t="shared" si="39"/>
        <v>0.49124034059218025</v>
      </c>
      <c r="I48" s="87">
        <f t="shared" si="39"/>
        <v>0.22060781591190559</v>
      </c>
      <c r="J48" s="87">
        <f t="shared" si="39"/>
        <v>-16.00757167953839</v>
      </c>
      <c r="K48" s="87">
        <f t="shared" si="39"/>
        <v>7.8077959574582897E-2</v>
      </c>
      <c r="L48" s="87">
        <f t="shared" si="39"/>
        <v>2.7537036797620418E-2</v>
      </c>
      <c r="M48" s="87">
        <f t="shared" si="39"/>
        <v>-1.0710385634065742E-2</v>
      </c>
      <c r="N48" s="84"/>
      <c r="O48" s="84"/>
      <c r="P48" s="87"/>
      <c r="Q48" s="87"/>
      <c r="R48" s="87"/>
      <c r="T48" s="84"/>
    </row>
    <row r="49" spans="1:21" ht="16" x14ac:dyDescent="0.2">
      <c r="B49" s="72" t="s">
        <v>1017</v>
      </c>
      <c r="D49" s="87"/>
      <c r="E49" s="87"/>
      <c r="F49" s="87"/>
      <c r="G49" s="87"/>
      <c r="H49" s="87"/>
      <c r="I49" s="87"/>
      <c r="J49" s="87"/>
      <c r="K49" s="87"/>
      <c r="L49" s="87"/>
      <c r="M49" s="84">
        <v>0</v>
      </c>
      <c r="N49" s="96">
        <v>0.01</v>
      </c>
      <c r="O49" s="96">
        <v>0.03</v>
      </c>
      <c r="P49" s="97">
        <v>0.05</v>
      </c>
      <c r="Q49" s="97">
        <v>0.05</v>
      </c>
      <c r="R49" s="97">
        <v>0.05</v>
      </c>
      <c r="T49" s="1176" t="s">
        <v>1018</v>
      </c>
      <c r="U49" s="1176"/>
    </row>
    <row r="50" spans="1:21" ht="16" x14ac:dyDescent="0.2">
      <c r="D50" s="87"/>
      <c r="E50" s="87"/>
      <c r="F50" s="87"/>
      <c r="G50" s="87"/>
      <c r="H50" s="87"/>
      <c r="I50" s="87"/>
      <c r="J50" s="87"/>
      <c r="K50" s="87"/>
      <c r="L50" s="92"/>
      <c r="M50" s="84"/>
    </row>
    <row r="52" spans="1:21" x14ac:dyDescent="0.2">
      <c r="A52" s="72" t="s">
        <v>1019</v>
      </c>
      <c r="B52" s="72" t="s">
        <v>1020</v>
      </c>
      <c r="C52" s="72" t="s">
        <v>1021</v>
      </c>
      <c r="D52" s="72">
        <v>10</v>
      </c>
      <c r="E52" s="72">
        <v>9</v>
      </c>
      <c r="F52" s="72">
        <v>8</v>
      </c>
      <c r="G52" s="72">
        <v>7</v>
      </c>
      <c r="H52" s="72">
        <v>6</v>
      </c>
      <c r="I52" s="72">
        <v>5</v>
      </c>
      <c r="J52" s="72">
        <v>4</v>
      </c>
      <c r="K52" s="72">
        <v>3</v>
      </c>
      <c r="L52" s="72">
        <v>2</v>
      </c>
      <c r="M52" s="72">
        <v>1</v>
      </c>
    </row>
    <row r="53" spans="1:21" x14ac:dyDescent="0.2">
      <c r="B53" s="72" t="s">
        <v>1022</v>
      </c>
      <c r="C53" s="72">
        <v>0.8</v>
      </c>
      <c r="D53" s="72">
        <f>$C$53^D52</f>
        <v>0.10737418240000011</v>
      </c>
      <c r="E53" s="72">
        <f t="shared" ref="E53:M53" si="40">$C$53^E52</f>
        <v>0.13421772800000012</v>
      </c>
      <c r="F53" s="72">
        <f t="shared" si="40"/>
        <v>0.16777216000000014</v>
      </c>
      <c r="G53" s="72">
        <f t="shared" si="40"/>
        <v>0.20971520000000016</v>
      </c>
      <c r="H53" s="72">
        <f t="shared" si="40"/>
        <v>0.26214400000000015</v>
      </c>
      <c r="I53" s="72">
        <f t="shared" si="40"/>
        <v>0.32768000000000019</v>
      </c>
      <c r="J53" s="72">
        <f t="shared" si="40"/>
        <v>0.40960000000000019</v>
      </c>
      <c r="K53" s="72">
        <f t="shared" si="40"/>
        <v>0.51200000000000012</v>
      </c>
      <c r="L53" s="72">
        <f t="shared" si="40"/>
        <v>0.64000000000000012</v>
      </c>
      <c r="M53" s="72">
        <f t="shared" si="40"/>
        <v>0.8</v>
      </c>
    </row>
    <row r="54" spans="1:21" x14ac:dyDescent="0.2">
      <c r="B54" s="72" t="s">
        <v>1023</v>
      </c>
      <c r="C54" s="98">
        <f>SUM(D53:M53)</f>
        <v>3.5705032704000015</v>
      </c>
      <c r="D54" s="98">
        <f t="shared" ref="D54:M54" si="41">D53/$C$54</f>
        <v>3.0072562400417866E-2</v>
      </c>
      <c r="E54" s="98">
        <f t="shared" si="41"/>
        <v>3.7590703000522328E-2</v>
      </c>
      <c r="F54" s="98">
        <f t="shared" si="41"/>
        <v>4.6988378750652905E-2</v>
      </c>
      <c r="G54" s="98">
        <f t="shared" si="41"/>
        <v>5.873547343831613E-2</v>
      </c>
      <c r="H54" s="98">
        <f t="shared" si="41"/>
        <v>7.3419341797895152E-2</v>
      </c>
      <c r="I54" s="98">
        <f t="shared" si="41"/>
        <v>9.1774177247368943E-2</v>
      </c>
      <c r="J54" s="98">
        <f t="shared" si="41"/>
        <v>0.11471772155921116</v>
      </c>
      <c r="K54" s="98">
        <f t="shared" si="41"/>
        <v>0.14339715194901392</v>
      </c>
      <c r="L54" s="98">
        <f t="shared" si="41"/>
        <v>0.17924643993626738</v>
      </c>
      <c r="M54" s="98">
        <f t="shared" si="41"/>
        <v>0.22405804992033421</v>
      </c>
    </row>
    <row r="55" spans="1:21" x14ac:dyDescent="0.2">
      <c r="C55" s="98"/>
      <c r="D55" s="98"/>
      <c r="E55" s="98"/>
      <c r="F55" s="98"/>
      <c r="G55" s="98"/>
      <c r="H55" s="98"/>
      <c r="I55" s="98"/>
      <c r="J55" s="98"/>
      <c r="K55" s="98"/>
      <c r="L55" s="98"/>
      <c r="M55" s="98"/>
    </row>
    <row r="57" spans="1:21" x14ac:dyDescent="0.2">
      <c r="B57" s="71" t="s">
        <v>995</v>
      </c>
      <c r="C57" s="71" t="s">
        <v>996</v>
      </c>
      <c r="D57" s="71" t="s">
        <v>996</v>
      </c>
      <c r="E57" s="71" t="s">
        <v>996</v>
      </c>
      <c r="F57" s="71" t="s">
        <v>996</v>
      </c>
      <c r="G57" s="71" t="s">
        <v>996</v>
      </c>
      <c r="H57" s="71" t="s">
        <v>996</v>
      </c>
      <c r="I57" s="71" t="s">
        <v>996</v>
      </c>
      <c r="J57" s="71" t="s">
        <v>996</v>
      </c>
      <c r="K57" s="71" t="s">
        <v>996</v>
      </c>
      <c r="L57" s="71" t="s">
        <v>996</v>
      </c>
      <c r="M57" s="71" t="s">
        <v>997</v>
      </c>
      <c r="N57" s="99" t="s">
        <v>998</v>
      </c>
      <c r="O57" s="99" t="s">
        <v>998</v>
      </c>
      <c r="P57" s="99" t="s">
        <v>998</v>
      </c>
      <c r="Q57" s="99" t="s">
        <v>998</v>
      </c>
      <c r="R57" s="99" t="s">
        <v>998</v>
      </c>
      <c r="T57" s="99" t="s">
        <v>1024</v>
      </c>
    </row>
    <row r="58" spans="1:21" x14ac:dyDescent="0.2">
      <c r="A58" s="71" t="s">
        <v>1025</v>
      </c>
      <c r="B58" s="71" t="s">
        <v>1026</v>
      </c>
      <c r="C58" s="71">
        <v>2012</v>
      </c>
      <c r="D58" s="71">
        <v>2013</v>
      </c>
      <c r="E58" s="71">
        <v>2014</v>
      </c>
      <c r="F58" s="71">
        <v>2015</v>
      </c>
      <c r="G58" s="71">
        <v>2016</v>
      </c>
      <c r="H58" s="71">
        <v>2017</v>
      </c>
      <c r="I58" s="71">
        <v>2018</v>
      </c>
      <c r="J58" s="71">
        <v>2019</v>
      </c>
      <c r="K58" s="71">
        <v>2020</v>
      </c>
      <c r="L58" s="71">
        <v>2021</v>
      </c>
      <c r="M58" s="71">
        <v>2022</v>
      </c>
      <c r="N58" s="99">
        <v>2023</v>
      </c>
      <c r="O58" s="99">
        <v>2024</v>
      </c>
      <c r="P58" s="99">
        <v>2025</v>
      </c>
      <c r="Q58" s="99">
        <v>2026</v>
      </c>
      <c r="R58" s="99">
        <v>2027</v>
      </c>
    </row>
    <row r="59" spans="1:21" ht="16" x14ac:dyDescent="0.2">
      <c r="B59" s="72" t="s">
        <v>43</v>
      </c>
      <c r="C59" s="100">
        <f>C22/C5</f>
        <v>0.43736463187499486</v>
      </c>
      <c r="D59" s="100">
        <f t="shared" ref="D59:R59" si="42">D22/D5</f>
        <v>0.4825978448891225</v>
      </c>
      <c r="E59" s="100">
        <f t="shared" si="42"/>
        <v>0.52691688547560134</v>
      </c>
      <c r="F59" s="100">
        <f t="shared" si="42"/>
        <v>0.52849137014787595</v>
      </c>
      <c r="G59" s="100">
        <f t="shared" si="42"/>
        <v>0.52972758901442851</v>
      </c>
      <c r="H59" s="100">
        <f t="shared" si="42"/>
        <v>0.53979822590919779</v>
      </c>
      <c r="I59" s="100">
        <f t="shared" si="42"/>
        <v>0.54308956551857912</v>
      </c>
      <c r="J59" s="100">
        <f t="shared" si="42"/>
        <v>0.61190547095175696</v>
      </c>
      <c r="K59" s="100">
        <f t="shared" si="42"/>
        <v>0.67056147208337979</v>
      </c>
      <c r="L59" s="100">
        <f t="shared" si="42"/>
        <v>0.68429228868522285</v>
      </c>
      <c r="M59" s="100">
        <v>0.65547067622518629</v>
      </c>
      <c r="N59" s="101">
        <f t="shared" si="42"/>
        <v>0.65750202666135082</v>
      </c>
      <c r="O59" s="101">
        <f t="shared" si="42"/>
        <v>0.66167287847553735</v>
      </c>
      <c r="P59" s="101">
        <f t="shared" si="42"/>
        <v>0.66335940016633976</v>
      </c>
      <c r="Q59" s="101">
        <f t="shared" si="42"/>
        <v>0.66456434016831023</v>
      </c>
      <c r="R59" s="101">
        <f t="shared" si="42"/>
        <v>0.66572645487932869</v>
      </c>
    </row>
    <row r="60" spans="1:21" ht="16" x14ac:dyDescent="0.2">
      <c r="B60" s="72" t="s">
        <v>44</v>
      </c>
      <c r="C60" s="100">
        <f>C28/C5</f>
        <v>0.4043200747361026</v>
      </c>
      <c r="D60" s="100">
        <f t="shared" ref="D60:R60" si="43">D28/D5</f>
        <v>0.39819572240513945</v>
      </c>
      <c r="E60" s="100">
        <f t="shared" si="43"/>
        <v>0.38196119462588796</v>
      </c>
      <c r="F60" s="100">
        <f t="shared" si="43"/>
        <v>0.36725782280454139</v>
      </c>
      <c r="G60" s="100">
        <f t="shared" si="43"/>
        <v>0.3479502810191667</v>
      </c>
      <c r="H60" s="100">
        <f t="shared" si="43"/>
        <v>0.32597561475809672</v>
      </c>
      <c r="I60" s="100">
        <f t="shared" si="43"/>
        <v>0.31906860008852916</v>
      </c>
      <c r="J60" s="100">
        <f t="shared" si="43"/>
        <v>0.34715697949493357</v>
      </c>
      <c r="K60" s="100">
        <f t="shared" si="43"/>
        <v>0.32492315345776157</v>
      </c>
      <c r="L60" s="100">
        <f t="shared" si="43"/>
        <v>0.30506081614431718</v>
      </c>
      <c r="M60" s="100">
        <v>0.34050995244764731</v>
      </c>
      <c r="N60" s="101">
        <f t="shared" si="43"/>
        <v>0.3383078524079946</v>
      </c>
      <c r="O60" s="101">
        <f t="shared" si="43"/>
        <v>0.33215957211078689</v>
      </c>
      <c r="P60" s="101">
        <f t="shared" si="43"/>
        <v>0.32839587689688216</v>
      </c>
      <c r="Q60" s="101">
        <f>Q28/Q5</f>
        <v>0.32570689463048674</v>
      </c>
      <c r="R60" s="101">
        <f t="shared" si="43"/>
        <v>0.32311348263956979</v>
      </c>
    </row>
    <row r="61" spans="1:21" x14ac:dyDescent="0.2">
      <c r="B61" s="72" t="s">
        <v>45</v>
      </c>
      <c r="C61" s="90">
        <f>C46/C5</f>
        <v>0.15831529338890257</v>
      </c>
      <c r="D61" s="90">
        <f t="shared" ref="D61:R61" si="44">D46/D5</f>
        <v>0.11920643270573805</v>
      </c>
      <c r="E61" s="90">
        <f t="shared" si="44"/>
        <v>9.1121919898510706E-2</v>
      </c>
      <c r="F61" s="90">
        <f t="shared" si="44"/>
        <v>0.10425080704758263</v>
      </c>
      <c r="G61" s="90">
        <f t="shared" si="44"/>
        <v>0.12232212996640481</v>
      </c>
      <c r="H61" s="90">
        <f t="shared" si="44"/>
        <v>0.13422615933270551</v>
      </c>
      <c r="I61" s="90">
        <f t="shared" si="44"/>
        <v>0.1378418343928918</v>
      </c>
      <c r="J61" s="90">
        <f t="shared" si="44"/>
        <v>4.0937549553309457E-2</v>
      </c>
      <c r="K61" s="90">
        <f t="shared" si="44"/>
        <v>4.5153744588586038E-3</v>
      </c>
      <c r="L61" s="90">
        <f t="shared" si="44"/>
        <v>1.0646895170459964E-2</v>
      </c>
      <c r="M61" s="90">
        <v>4.0193713271663989E-3</v>
      </c>
      <c r="N61" s="102">
        <f t="shared" si="44"/>
        <v>4.1901209306546092E-3</v>
      </c>
      <c r="O61" s="102">
        <f t="shared" si="44"/>
        <v>6.167549413675759E-3</v>
      </c>
      <c r="P61" s="102">
        <f t="shared" si="44"/>
        <v>8.2447229367780712E-3</v>
      </c>
      <c r="Q61" s="102">
        <f t="shared" si="44"/>
        <v>9.7287652012028915E-3</v>
      </c>
      <c r="R61" s="102">
        <f t="shared" si="44"/>
        <v>1.116006248110136E-2</v>
      </c>
    </row>
    <row r="62" spans="1:21" x14ac:dyDescent="0.2">
      <c r="B62" s="72" t="s">
        <v>1027</v>
      </c>
      <c r="C62" s="90">
        <f>SUM(C59:C61)</f>
        <v>1</v>
      </c>
      <c r="D62" s="90">
        <f t="shared" ref="D62:R62" si="45">SUM(D59:D61)</f>
        <v>1</v>
      </c>
      <c r="E62" s="90">
        <f t="shared" si="45"/>
        <v>1</v>
      </c>
      <c r="F62" s="90">
        <f t="shared" si="45"/>
        <v>0.99999999999999989</v>
      </c>
      <c r="G62" s="90">
        <f t="shared" si="45"/>
        <v>1</v>
      </c>
      <c r="H62" s="90">
        <f t="shared" si="45"/>
        <v>1</v>
      </c>
      <c r="I62" s="90">
        <f t="shared" si="45"/>
        <v>1</v>
      </c>
      <c r="J62" s="90">
        <f t="shared" si="45"/>
        <v>0.99999999999999989</v>
      </c>
      <c r="K62" s="90">
        <f t="shared" si="45"/>
        <v>1</v>
      </c>
      <c r="L62" s="90">
        <f t="shared" si="45"/>
        <v>1</v>
      </c>
      <c r="M62" s="90">
        <f t="shared" si="45"/>
        <v>1</v>
      </c>
      <c r="N62" s="102">
        <f t="shared" si="45"/>
        <v>1</v>
      </c>
      <c r="O62" s="102">
        <f t="shared" si="45"/>
        <v>1</v>
      </c>
      <c r="P62" s="102">
        <f t="shared" si="45"/>
        <v>0.99999999999999989</v>
      </c>
      <c r="Q62" s="102">
        <f t="shared" si="45"/>
        <v>0.99999999999999989</v>
      </c>
      <c r="R62" s="102">
        <f t="shared" si="45"/>
        <v>0.99999999999999989</v>
      </c>
    </row>
    <row r="64" spans="1:21" x14ac:dyDescent="0.2">
      <c r="A64" s="71" t="s">
        <v>1028</v>
      </c>
      <c r="B64" s="72" t="s">
        <v>1029</v>
      </c>
    </row>
    <row r="65" spans="2:18" x14ac:dyDescent="0.2">
      <c r="B65" s="72" t="s">
        <v>44</v>
      </c>
      <c r="C65" s="65">
        <f>C60*C5</f>
        <v>35083621</v>
      </c>
      <c r="D65" s="65">
        <f t="shared" ref="D65:R65" si="46">D60*D5</f>
        <v>34937635</v>
      </c>
      <c r="E65" s="65">
        <f t="shared" si="46"/>
        <v>35592453</v>
      </c>
      <c r="F65" s="65">
        <f t="shared" si="46"/>
        <v>34624913</v>
      </c>
      <c r="G65" s="65">
        <f t="shared" si="46"/>
        <v>30930564</v>
      </c>
      <c r="H65" s="65">
        <f t="shared" si="46"/>
        <v>29943349.999999996</v>
      </c>
      <c r="I65" s="65">
        <f t="shared" si="46"/>
        <v>30589262.000000004</v>
      </c>
      <c r="J65" s="65">
        <f t="shared" si="46"/>
        <v>33483073.000000004</v>
      </c>
      <c r="K65" s="65">
        <f t="shared" si="46"/>
        <v>15822305.999999998</v>
      </c>
      <c r="L65" s="65">
        <f t="shared" si="46"/>
        <v>20247851</v>
      </c>
      <c r="M65" s="65">
        <f t="shared" si="46"/>
        <v>32769717.326544225</v>
      </c>
      <c r="N65" s="65">
        <f t="shared" si="46"/>
        <v>33514651.611420378</v>
      </c>
      <c r="O65" s="65">
        <f t="shared" si="46"/>
        <v>35635813.040730737</v>
      </c>
      <c r="P65" s="65">
        <f t="shared" si="46"/>
        <v>36984689.530110471</v>
      </c>
      <c r="Q65" s="65">
        <f t="shared" si="46"/>
        <v>38033619.470825978</v>
      </c>
      <c r="R65" s="65">
        <f t="shared" si="46"/>
        <v>39121203.710875101</v>
      </c>
    </row>
    <row r="67" spans="2:18" x14ac:dyDescent="0.2">
      <c r="I67" s="72" t="s">
        <v>143</v>
      </c>
      <c r="J67" s="72">
        <f t="shared" ref="J67:R67" si="47">J59/2</f>
        <v>0.30595273547587848</v>
      </c>
      <c r="K67" s="72">
        <f t="shared" si="47"/>
        <v>0.3352807360416899</v>
      </c>
      <c r="L67" s="72">
        <f t="shared" si="47"/>
        <v>0.34214614434261142</v>
      </c>
      <c r="M67" s="72">
        <f t="shared" si="47"/>
        <v>0.32773533811259314</v>
      </c>
      <c r="N67" s="72">
        <f t="shared" si="47"/>
        <v>0.32875101333067541</v>
      </c>
      <c r="O67" s="72">
        <f t="shared" si="47"/>
        <v>0.33083643923776868</v>
      </c>
      <c r="P67" s="72">
        <f t="shared" si="47"/>
        <v>0.33167970008316988</v>
      </c>
      <c r="Q67" s="72">
        <f t="shared" si="47"/>
        <v>0.33228217008415512</v>
      </c>
      <c r="R67" s="72">
        <f t="shared" si="47"/>
        <v>0.33286322743966434</v>
      </c>
    </row>
  </sheetData>
  <mergeCells count="2">
    <mergeCell ref="T5:U6"/>
    <mergeCell ref="T49:U49"/>
  </mergeCells>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726E6-20A0-42B0-8E32-3D7C47695A30}">
  <sheetPr>
    <tabColor theme="5" tint="0.79998168889431442"/>
  </sheetPr>
  <dimension ref="A5:R28"/>
  <sheetViews>
    <sheetView workbookViewId="0"/>
  </sheetViews>
  <sheetFormatPr baseColWidth="10" defaultColWidth="10.83203125" defaultRowHeight="15" x14ac:dyDescent="0.2"/>
  <cols>
    <col min="1" max="1" width="15.83203125" style="259" customWidth="1"/>
    <col min="2" max="2" width="10.1640625" style="259" customWidth="1"/>
    <col min="3" max="3" width="8.6640625" style="259" bestFit="1" customWidth="1"/>
    <col min="4" max="4" width="10.83203125" style="259"/>
    <col min="5" max="9" width="8.6640625" style="259" bestFit="1" customWidth="1"/>
    <col min="10" max="10" width="17.6640625" style="259" bestFit="1" customWidth="1"/>
    <col min="11" max="11" width="9.83203125" style="259" customWidth="1"/>
    <col min="12" max="16384" width="10.83203125" style="259"/>
  </cols>
  <sheetData>
    <row r="5" spans="1:15" x14ac:dyDescent="0.2">
      <c r="A5" s="259" t="s">
        <v>1032</v>
      </c>
      <c r="J5" s="1177" t="s">
        <v>1033</v>
      </c>
      <c r="K5" s="1177"/>
      <c r="L5" s="1177"/>
    </row>
    <row r="6" spans="1:15" x14ac:dyDescent="0.2">
      <c r="A6" s="259" t="s">
        <v>796</v>
      </c>
      <c r="B6" s="259" t="s">
        <v>1034</v>
      </c>
      <c r="C6" s="864" t="s">
        <v>1035</v>
      </c>
      <c r="D6" s="259" t="s">
        <v>1036</v>
      </c>
      <c r="E6" s="259" t="s">
        <v>1037</v>
      </c>
      <c r="F6" s="259" t="s">
        <v>1038</v>
      </c>
      <c r="G6" s="259" t="s">
        <v>1039</v>
      </c>
      <c r="J6" s="259" t="s">
        <v>925</v>
      </c>
    </row>
    <row r="7" spans="1:15" ht="16" thickBot="1" x14ac:dyDescent="0.25">
      <c r="A7" s="271">
        <v>36526</v>
      </c>
      <c r="B7" s="260">
        <v>830452.5390625</v>
      </c>
      <c r="C7" s="865">
        <v>0.84995200000000004</v>
      </c>
      <c r="D7" s="260">
        <v>16657396</v>
      </c>
      <c r="E7" s="259">
        <f t="shared" ref="E7:E26" si="0">LN(B7)</f>
        <v>13.62972605897626</v>
      </c>
      <c r="F7" s="259">
        <f t="shared" ref="F7:F26" si="1">LOG(C7)</f>
        <v>-7.0605599843060501E-2</v>
      </c>
      <c r="G7" s="259">
        <f t="shared" ref="G7:G26" si="2">LN(D7)</f>
        <v>16.628364879965449</v>
      </c>
    </row>
    <row r="8" spans="1:15" x14ac:dyDescent="0.2">
      <c r="A8" s="271">
        <v>36892</v>
      </c>
      <c r="B8" s="260">
        <v>848889.140625</v>
      </c>
      <c r="C8" s="865">
        <v>0.72498799999999997</v>
      </c>
      <c r="D8" s="260">
        <v>18453926</v>
      </c>
      <c r="E8" s="259">
        <f t="shared" si="0"/>
        <v>13.651683880354215</v>
      </c>
      <c r="F8" s="259">
        <f t="shared" si="1"/>
        <v>-0.13966918181095564</v>
      </c>
      <c r="G8" s="259">
        <f t="shared" si="2"/>
        <v>16.73078769714186</v>
      </c>
      <c r="J8" s="272" t="s">
        <v>926</v>
      </c>
      <c r="K8" s="272"/>
    </row>
    <row r="9" spans="1:15" x14ac:dyDescent="0.2">
      <c r="A9" s="271">
        <v>37257</v>
      </c>
      <c r="B9" s="260">
        <v>875906.3515625</v>
      </c>
      <c r="C9" s="865">
        <v>0.68706400000000001</v>
      </c>
      <c r="D9" s="260">
        <v>17681498</v>
      </c>
      <c r="E9" s="259">
        <f t="shared" si="0"/>
        <v>13.683014459594805</v>
      </c>
      <c r="F9" s="259">
        <f t="shared" si="1"/>
        <v>-0.16300280653250654</v>
      </c>
      <c r="G9" s="259">
        <f t="shared" si="2"/>
        <v>16.688029340091301</v>
      </c>
      <c r="J9" s="259" t="s">
        <v>927</v>
      </c>
      <c r="K9" s="259">
        <v>0.99198364365943248</v>
      </c>
    </row>
    <row r="10" spans="1:15" x14ac:dyDescent="0.2">
      <c r="A10" s="271">
        <v>37622</v>
      </c>
      <c r="B10" s="260">
        <v>908985.140625</v>
      </c>
      <c r="C10" s="865">
        <v>0.8236</v>
      </c>
      <c r="D10" s="260">
        <v>18136950</v>
      </c>
      <c r="E10" s="259">
        <f t="shared" si="0"/>
        <v>13.720084026078808</v>
      </c>
      <c r="F10" s="259">
        <f t="shared" si="1"/>
        <v>-8.4283662054006239E-2</v>
      </c>
      <c r="G10" s="259">
        <f t="shared" si="2"/>
        <v>16.713461851800261</v>
      </c>
      <c r="J10" s="259" t="s">
        <v>928</v>
      </c>
      <c r="K10" s="259">
        <v>0.98403154928784398</v>
      </c>
    </row>
    <row r="11" spans="1:15" x14ac:dyDescent="0.2">
      <c r="A11" s="271">
        <v>37987</v>
      </c>
      <c r="B11" s="260">
        <v>964222.4453125</v>
      </c>
      <c r="C11" s="865">
        <v>1.1511365461847389</v>
      </c>
      <c r="D11" s="260">
        <v>19346278</v>
      </c>
      <c r="E11" s="259">
        <f t="shared" si="0"/>
        <v>13.779077299372302</v>
      </c>
      <c r="F11" s="259">
        <f t="shared" si="1"/>
        <v>6.1126842080966977E-2</v>
      </c>
      <c r="G11" s="259">
        <f t="shared" si="2"/>
        <v>16.778010607516968</v>
      </c>
      <c r="J11" s="259" t="s">
        <v>929</v>
      </c>
      <c r="K11" s="259">
        <v>0.98215290802759037</v>
      </c>
    </row>
    <row r="12" spans="1:15" x14ac:dyDescent="0.2">
      <c r="A12" s="271">
        <v>38353</v>
      </c>
      <c r="B12" s="260">
        <v>1017197.203125</v>
      </c>
      <c r="C12" s="865">
        <v>1.7155976095617529</v>
      </c>
      <c r="D12" s="260">
        <v>22266671</v>
      </c>
      <c r="E12" s="259">
        <f t="shared" si="0"/>
        <v>13.832561562944136</v>
      </c>
      <c r="F12" s="259">
        <f t="shared" si="1"/>
        <v>0.2344154324406289</v>
      </c>
      <c r="G12" s="259">
        <f t="shared" si="2"/>
        <v>16.918601544449523</v>
      </c>
      <c r="J12" s="259" t="s">
        <v>930</v>
      </c>
      <c r="K12" s="259">
        <v>7.5972289405758314E-2</v>
      </c>
    </row>
    <row r="13" spans="1:15" ht="16" thickBot="1" x14ac:dyDescent="0.25">
      <c r="A13" s="271">
        <v>38718</v>
      </c>
      <c r="B13" s="260">
        <v>1083034.359375</v>
      </c>
      <c r="C13" s="865">
        <v>1.9230200803212851</v>
      </c>
      <c r="D13" s="260">
        <v>22961308</v>
      </c>
      <c r="E13" s="259">
        <f t="shared" si="0"/>
        <v>13.895277251587899</v>
      </c>
      <c r="F13" s="259">
        <f t="shared" si="1"/>
        <v>0.28398381919802085</v>
      </c>
      <c r="G13" s="259">
        <f t="shared" si="2"/>
        <v>16.949321096434105</v>
      </c>
      <c r="J13" s="270" t="s">
        <v>931</v>
      </c>
      <c r="K13" s="270">
        <v>20</v>
      </c>
    </row>
    <row r="14" spans="1:15" x14ac:dyDescent="0.2">
      <c r="A14" s="271">
        <v>39083</v>
      </c>
      <c r="B14" s="260">
        <v>1148228.34375</v>
      </c>
      <c r="C14" s="865">
        <v>2.1309126984126983</v>
      </c>
      <c r="D14" s="260">
        <v>26725504</v>
      </c>
      <c r="E14" s="259">
        <f t="shared" si="0"/>
        <v>13.953730741788107</v>
      </c>
      <c r="F14" s="259">
        <f t="shared" si="1"/>
        <v>0.32856565742218907</v>
      </c>
      <c r="G14" s="259">
        <f t="shared" si="2"/>
        <v>17.101128873444051</v>
      </c>
    </row>
    <row r="15" spans="1:15" ht="16" thickBot="1" x14ac:dyDescent="0.25">
      <c r="A15" s="271">
        <v>39448</v>
      </c>
      <c r="B15" s="260">
        <v>1204593.78125</v>
      </c>
      <c r="C15" s="865">
        <v>2.9644466403162055</v>
      </c>
      <c r="D15" s="260">
        <v>29471876</v>
      </c>
      <c r="E15" s="259">
        <f t="shared" si="0"/>
        <v>14.001652957076356</v>
      </c>
      <c r="F15" s="259">
        <f t="shared" si="1"/>
        <v>0.47194363750277718</v>
      </c>
      <c r="G15" s="259">
        <f t="shared" si="2"/>
        <v>17.198947010645039</v>
      </c>
      <c r="J15" s="259" t="s">
        <v>932</v>
      </c>
    </row>
    <row r="16" spans="1:15" x14ac:dyDescent="0.2">
      <c r="A16" s="271">
        <v>39814</v>
      </c>
      <c r="B16" s="260">
        <v>1208571.90625</v>
      </c>
      <c r="C16" s="865">
        <v>1.6642896825396825</v>
      </c>
      <c r="D16" s="260">
        <v>28952367</v>
      </c>
      <c r="E16" s="259">
        <f t="shared" si="0"/>
        <v>14.004949977769332</v>
      </c>
      <c r="F16" s="259">
        <f t="shared" si="1"/>
        <v>0.22122892086033255</v>
      </c>
      <c r="G16" s="259">
        <f t="shared" si="2"/>
        <v>17.181162520299008</v>
      </c>
      <c r="J16" s="267"/>
      <c r="K16" s="267" t="s">
        <v>933</v>
      </c>
      <c r="L16" s="267" t="s">
        <v>934</v>
      </c>
      <c r="M16" s="267" t="s">
        <v>935</v>
      </c>
      <c r="N16" s="267" t="s">
        <v>596</v>
      </c>
      <c r="O16" s="267" t="s">
        <v>936</v>
      </c>
    </row>
    <row r="17" spans="1:18" x14ac:dyDescent="0.2">
      <c r="A17" s="271">
        <v>40179</v>
      </c>
      <c r="B17" s="260">
        <v>1275685.71875</v>
      </c>
      <c r="C17" s="865">
        <v>2.1498804780876495</v>
      </c>
      <c r="D17" s="260">
        <v>38125791.292517208</v>
      </c>
      <c r="E17" s="259">
        <f t="shared" si="0"/>
        <v>14.058994410629509</v>
      </c>
      <c r="F17" s="259">
        <f t="shared" si="1"/>
        <v>0.33241431612496825</v>
      </c>
      <c r="G17" s="259">
        <f t="shared" si="2"/>
        <v>17.456401547890028</v>
      </c>
      <c r="J17" s="259" t="s">
        <v>937</v>
      </c>
      <c r="K17" s="259">
        <v>2</v>
      </c>
      <c r="L17" s="259">
        <v>6.0465213379690042</v>
      </c>
      <c r="M17" s="259">
        <v>3.0232606689845021</v>
      </c>
      <c r="N17" s="259">
        <v>523.79960459027745</v>
      </c>
      <c r="O17" s="259">
        <v>5.3423661291580572E-16</v>
      </c>
    </row>
    <row r="18" spans="1:18" x14ac:dyDescent="0.2">
      <c r="A18" s="271">
        <v>40544</v>
      </c>
      <c r="B18" s="260">
        <v>1361150.75</v>
      </c>
      <c r="C18" s="865">
        <v>2.9985119047619047</v>
      </c>
      <c r="D18" s="260">
        <v>43042133.124566913</v>
      </c>
      <c r="E18" s="259">
        <f t="shared" si="0"/>
        <v>14.12384103964372</v>
      </c>
      <c r="F18" s="259">
        <f t="shared" si="1"/>
        <v>0.47690577742330298</v>
      </c>
      <c r="G18" s="259">
        <f t="shared" si="2"/>
        <v>17.577690034034074</v>
      </c>
      <c r="J18" s="259" t="s">
        <v>938</v>
      </c>
      <c r="K18" s="259">
        <v>17</v>
      </c>
      <c r="L18" s="259">
        <v>9.8120408878389048E-2</v>
      </c>
      <c r="M18" s="259">
        <v>5.7717887575522969E-3</v>
      </c>
    </row>
    <row r="19" spans="1:18" ht="16" thickBot="1" x14ac:dyDescent="0.25">
      <c r="A19" s="271">
        <v>40909</v>
      </c>
      <c r="B19" s="260">
        <v>1428924.0625</v>
      </c>
      <c r="C19" s="865">
        <v>3.0561904761904763</v>
      </c>
      <c r="D19" s="260">
        <v>49738576.763072416</v>
      </c>
      <c r="E19" s="259">
        <f t="shared" si="0"/>
        <v>14.172432315192101</v>
      </c>
      <c r="F19" s="259">
        <f t="shared" si="1"/>
        <v>0.485180418025566</v>
      </c>
      <c r="G19" s="259">
        <f t="shared" si="2"/>
        <v>17.722291382401256</v>
      </c>
      <c r="J19" s="270" t="s">
        <v>939</v>
      </c>
      <c r="K19" s="270">
        <v>19</v>
      </c>
      <c r="L19" s="270">
        <v>6.1446417468473928</v>
      </c>
      <c r="M19" s="270"/>
      <c r="N19" s="270"/>
      <c r="O19" s="270"/>
    </row>
    <row r="20" spans="1:18" ht="16" thickBot="1" x14ac:dyDescent="0.25">
      <c r="A20" s="271">
        <v>41275</v>
      </c>
      <c r="B20" s="260">
        <v>1500099.15625</v>
      </c>
      <c r="C20" s="865">
        <v>2.9204920634920635</v>
      </c>
      <c r="D20" s="260">
        <v>58148979.762949698</v>
      </c>
      <c r="E20" s="259">
        <f t="shared" si="0"/>
        <v>14.22104176805432</v>
      </c>
      <c r="F20" s="259">
        <f t="shared" si="1"/>
        <v>0.46545603037154043</v>
      </c>
      <c r="G20" s="259">
        <f t="shared" si="2"/>
        <v>17.878518891855855</v>
      </c>
    </row>
    <row r="21" spans="1:18" x14ac:dyDescent="0.2">
      <c r="A21" s="271">
        <v>41640</v>
      </c>
      <c r="B21" s="260">
        <v>1548460.90625</v>
      </c>
      <c r="C21" s="865">
        <v>2.6927023809523809</v>
      </c>
      <c r="D21" s="260">
        <v>60982817</v>
      </c>
      <c r="E21" s="259">
        <f t="shared" si="0"/>
        <v>14.252772031870698</v>
      </c>
      <c r="F21" s="259">
        <f t="shared" si="1"/>
        <v>0.43018835435731873</v>
      </c>
      <c r="G21" s="259">
        <f t="shared" si="2"/>
        <v>17.92610269393133</v>
      </c>
      <c r="J21" s="267"/>
      <c r="K21" s="267" t="s">
        <v>940</v>
      </c>
      <c r="L21" s="267" t="s">
        <v>930</v>
      </c>
      <c r="M21" s="267" t="s">
        <v>941</v>
      </c>
      <c r="N21" s="267" t="s">
        <v>942</v>
      </c>
      <c r="O21" s="267" t="s">
        <v>943</v>
      </c>
      <c r="P21" s="267" t="s">
        <v>944</v>
      </c>
      <c r="Q21" s="267" t="s">
        <v>1040</v>
      </c>
      <c r="R21" s="267" t="s">
        <v>1041</v>
      </c>
    </row>
    <row r="22" spans="1:18" x14ac:dyDescent="0.2">
      <c r="A22" s="271">
        <v>42005</v>
      </c>
      <c r="B22" s="260">
        <v>1587221.046875</v>
      </c>
      <c r="C22" s="865">
        <v>1.5217936507936507</v>
      </c>
      <c r="D22" s="260">
        <v>65471963</v>
      </c>
      <c r="E22" s="259">
        <f t="shared" si="0"/>
        <v>14.277495275804741</v>
      </c>
      <c r="F22" s="259">
        <f t="shared" si="1"/>
        <v>0.18235576781090251</v>
      </c>
      <c r="G22" s="259">
        <f t="shared" si="2"/>
        <v>17.997132563166197</v>
      </c>
      <c r="J22" s="259" t="s">
        <v>947</v>
      </c>
      <c r="K22" s="259">
        <v>-16.70969892430082</v>
      </c>
      <c r="L22" s="259">
        <v>1.2686596965948942</v>
      </c>
      <c r="M22" s="259">
        <v>-13.171143506134827</v>
      </c>
      <c r="N22" s="259">
        <v>2.3907429094786323E-10</v>
      </c>
      <c r="O22" s="259">
        <v>-19.386336915146018</v>
      </c>
      <c r="P22" s="259">
        <v>-14.033060933455623</v>
      </c>
      <c r="Q22" s="259">
        <v>-19.386336915146018</v>
      </c>
      <c r="R22" s="259">
        <v>-14.033060933455623</v>
      </c>
    </row>
    <row r="23" spans="1:18" x14ac:dyDescent="0.2">
      <c r="A23" s="271">
        <v>42370</v>
      </c>
      <c r="B23" s="260">
        <v>1619112.703125</v>
      </c>
      <c r="C23" s="865">
        <v>1.2517063492063492</v>
      </c>
      <c r="D23" s="260">
        <v>68806576</v>
      </c>
      <c r="E23" s="259">
        <f t="shared" si="0"/>
        <v>14.297388843038025</v>
      </c>
      <c r="F23" s="259">
        <f t="shared" si="1"/>
        <v>9.7502455170320718E-2</v>
      </c>
      <c r="G23" s="259">
        <f t="shared" si="2"/>
        <v>18.04680987973131</v>
      </c>
      <c r="J23" s="259" t="s">
        <v>948</v>
      </c>
      <c r="K23" s="259">
        <v>2.436698711456482</v>
      </c>
      <c r="L23" s="259">
        <v>9.1517308520446608E-2</v>
      </c>
      <c r="M23" s="259">
        <v>26.625550410631664</v>
      </c>
      <c r="N23" s="259">
        <v>2.6680467527783474E-15</v>
      </c>
      <c r="O23" s="259">
        <v>2.2436140682986658</v>
      </c>
      <c r="P23" s="259">
        <v>2.6297833546142981</v>
      </c>
      <c r="Q23" s="259">
        <v>2.2436140682986658</v>
      </c>
      <c r="R23" s="259">
        <v>2.6297833546142981</v>
      </c>
    </row>
    <row r="24" spans="1:18" ht="16" thickBot="1" x14ac:dyDescent="0.25">
      <c r="A24" s="271">
        <v>42736</v>
      </c>
      <c r="B24" s="260">
        <v>1646549.953125</v>
      </c>
      <c r="C24" s="865">
        <v>1.5579400000000001</v>
      </c>
      <c r="D24" s="260">
        <v>71385257</v>
      </c>
      <c r="E24" s="259">
        <f t="shared" si="0"/>
        <v>14.314192719314956</v>
      </c>
      <c r="F24" s="259">
        <f t="shared" si="1"/>
        <v>0.19255072793816355</v>
      </c>
      <c r="G24" s="259">
        <f t="shared" si="2"/>
        <v>18.083601921395097</v>
      </c>
      <c r="J24" s="270" t="s">
        <v>949</v>
      </c>
      <c r="K24" s="270">
        <v>-0.35241044582770875</v>
      </c>
      <c r="L24" s="270">
        <v>0.10890401038032277</v>
      </c>
      <c r="M24" s="270">
        <v>-3.2359730793842623</v>
      </c>
      <c r="N24" s="270">
        <v>4.8564608474582051E-3</v>
      </c>
      <c r="O24" s="270">
        <v>-0.58217782341663504</v>
      </c>
      <c r="P24" s="270">
        <v>-0.12264306823878252</v>
      </c>
      <c r="Q24" s="270">
        <v>-0.58217782341663504</v>
      </c>
      <c r="R24" s="270">
        <v>-0.12264306823878252</v>
      </c>
    </row>
    <row r="25" spans="1:18" x14ac:dyDescent="0.2">
      <c r="A25" s="271">
        <v>43101</v>
      </c>
      <c r="B25" s="260">
        <v>1697168.359375</v>
      </c>
      <c r="C25" s="865">
        <v>2.02685140562249</v>
      </c>
      <c r="D25" s="260">
        <v>76345010.272</v>
      </c>
      <c r="E25" s="259">
        <f t="shared" si="0"/>
        <v>14.344471749298323</v>
      </c>
      <c r="F25" s="259">
        <f t="shared" si="1"/>
        <v>0.30682191046720014</v>
      </c>
      <c r="G25" s="259">
        <f t="shared" si="2"/>
        <v>18.150773234146861</v>
      </c>
    </row>
    <row r="26" spans="1:18" x14ac:dyDescent="0.2">
      <c r="A26" s="271">
        <v>43466</v>
      </c>
      <c r="B26" s="260">
        <v>1732672.453125</v>
      </c>
      <c r="C26" s="865">
        <v>1.878710843373494</v>
      </c>
      <c r="D26" s="260">
        <v>81878152</v>
      </c>
      <c r="E26" s="259">
        <f t="shared" si="0"/>
        <v>14.365175545135704</v>
      </c>
      <c r="F26" s="259">
        <f t="shared" si="1"/>
        <v>0.27385994200000141</v>
      </c>
      <c r="G26" s="259">
        <f t="shared" si="2"/>
        <v>18.220742748888597</v>
      </c>
    </row>
    <row r="27" spans="1:18" x14ac:dyDescent="0.2">
      <c r="A27" s="273"/>
      <c r="D27" s="260"/>
    </row>
    <row r="28" spans="1:18" x14ac:dyDescent="0.2">
      <c r="D28" s="260"/>
    </row>
  </sheetData>
  <mergeCells count="1">
    <mergeCell ref="J5:L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F961-FCA1-48C0-9567-3255E8BBB76D}">
  <sheetPr>
    <tabColor theme="5" tint="0.79998168889431442"/>
  </sheetPr>
  <dimension ref="B3:W26"/>
  <sheetViews>
    <sheetView zoomScale="71" workbookViewId="0"/>
  </sheetViews>
  <sheetFormatPr baseColWidth="10" defaultColWidth="10.83203125" defaultRowHeight="15" x14ac:dyDescent="0.2"/>
  <cols>
    <col min="1" max="1" width="10.83203125" style="259"/>
    <col min="2" max="2" width="16.6640625" style="259" bestFit="1" customWidth="1"/>
    <col min="3" max="3" width="8.6640625" style="259" bestFit="1" customWidth="1"/>
    <col min="4" max="11" width="11.1640625" style="259" bestFit="1" customWidth="1"/>
    <col min="12" max="13" width="10.1640625" style="259" bestFit="1" customWidth="1"/>
    <col min="14" max="17" width="10.83203125" style="259" bestFit="1"/>
    <col min="18" max="21" width="10.1640625" style="259" bestFit="1" customWidth="1"/>
    <col min="22" max="22" width="10.83203125" style="259" bestFit="1"/>
    <col min="23" max="23" width="10.1640625" style="259" bestFit="1" customWidth="1"/>
    <col min="24" max="24" width="10.83203125" style="259" bestFit="1"/>
    <col min="25" max="16384" width="10.83203125" style="259"/>
  </cols>
  <sheetData>
    <row r="3" spans="2:23" x14ac:dyDescent="0.2">
      <c r="B3" s="259" t="s">
        <v>1042</v>
      </c>
      <c r="D3" s="259" t="s">
        <v>1043</v>
      </c>
      <c r="E3" s="259" t="s">
        <v>1044</v>
      </c>
      <c r="F3" s="259" t="s">
        <v>1045</v>
      </c>
      <c r="G3" s="259" t="s">
        <v>1046</v>
      </c>
      <c r="H3" s="259" t="s">
        <v>1047</v>
      </c>
      <c r="I3" s="259" t="s">
        <v>1048</v>
      </c>
      <c r="J3" s="259" t="s">
        <v>1049</v>
      </c>
      <c r="K3" s="259" t="s">
        <v>1050</v>
      </c>
      <c r="L3" s="259" t="s">
        <v>1051</v>
      </c>
      <c r="M3" s="259" t="s">
        <v>1052</v>
      </c>
      <c r="N3" s="259" t="s">
        <v>1053</v>
      </c>
      <c r="O3" s="259" t="s">
        <v>680</v>
      </c>
      <c r="P3" s="259" t="s">
        <v>671</v>
      </c>
      <c r="Q3" s="259" t="s">
        <v>1054</v>
      </c>
      <c r="R3" s="259" t="s">
        <v>1055</v>
      </c>
      <c r="S3" s="259" t="s">
        <v>1056</v>
      </c>
      <c r="T3" s="259" t="s">
        <v>1057</v>
      </c>
      <c r="U3" s="259" t="s">
        <v>1058</v>
      </c>
      <c r="V3" s="259" t="s">
        <v>1059</v>
      </c>
      <c r="W3" s="259" t="s">
        <v>1060</v>
      </c>
    </row>
    <row r="4" spans="2:23" x14ac:dyDescent="0.2">
      <c r="B4" s="259" t="s">
        <v>1061</v>
      </c>
      <c r="D4" s="259">
        <v>16657396</v>
      </c>
      <c r="E4" s="259">
        <v>18453926</v>
      </c>
      <c r="F4" s="259">
        <v>17681498</v>
      </c>
      <c r="G4" s="259">
        <v>18136950</v>
      </c>
      <c r="H4" s="259">
        <v>19346278</v>
      </c>
      <c r="I4" s="259">
        <v>22266671</v>
      </c>
      <c r="J4" s="259">
        <v>22961308</v>
      </c>
      <c r="K4" s="259">
        <v>26725504</v>
      </c>
      <c r="L4" s="259">
        <v>29471876</v>
      </c>
      <c r="M4" s="259">
        <v>28952367</v>
      </c>
      <c r="N4" s="259">
        <v>38125791.292517208</v>
      </c>
      <c r="O4" s="259">
        <v>43042133.124566913</v>
      </c>
      <c r="P4" s="259">
        <v>49738576.763072416</v>
      </c>
      <c r="Q4" s="259">
        <v>58148979.762949698</v>
      </c>
      <c r="R4" s="259">
        <v>60982817</v>
      </c>
      <c r="S4" s="259">
        <v>65471963</v>
      </c>
      <c r="T4" s="259">
        <v>68806576</v>
      </c>
      <c r="U4" s="259">
        <v>71385257</v>
      </c>
      <c r="V4" s="259">
        <v>76345010.272</v>
      </c>
      <c r="W4" s="259">
        <v>81878152</v>
      </c>
    </row>
    <row r="5" spans="2:23" x14ac:dyDescent="0.2">
      <c r="B5" s="259" t="s">
        <v>1062</v>
      </c>
      <c r="D5" s="260">
        <f t="shared" ref="D5:W5" si="0">SUM(D1:D4)</f>
        <v>16657396</v>
      </c>
      <c r="E5" s="260">
        <f t="shared" si="0"/>
        <v>18453926</v>
      </c>
      <c r="F5" s="260">
        <f t="shared" si="0"/>
        <v>17681498</v>
      </c>
      <c r="G5" s="260">
        <f t="shared" si="0"/>
        <v>18136950</v>
      </c>
      <c r="H5" s="260">
        <f t="shared" si="0"/>
        <v>19346278</v>
      </c>
      <c r="I5" s="260">
        <f t="shared" si="0"/>
        <v>22266671</v>
      </c>
      <c r="J5" s="260">
        <f t="shared" si="0"/>
        <v>22961308</v>
      </c>
      <c r="K5" s="260">
        <f t="shared" si="0"/>
        <v>26725504</v>
      </c>
      <c r="L5" s="260">
        <f t="shared" si="0"/>
        <v>29471876</v>
      </c>
      <c r="M5" s="260">
        <f t="shared" si="0"/>
        <v>28952367</v>
      </c>
      <c r="N5" s="260">
        <f t="shared" si="0"/>
        <v>38125791.292517208</v>
      </c>
      <c r="O5" s="260">
        <f t="shared" si="0"/>
        <v>43042133.124566913</v>
      </c>
      <c r="P5" s="260">
        <f t="shared" si="0"/>
        <v>49738576.763072416</v>
      </c>
      <c r="Q5" s="260">
        <f t="shared" si="0"/>
        <v>58148979.762949698</v>
      </c>
      <c r="R5" s="260">
        <f t="shared" si="0"/>
        <v>60982817</v>
      </c>
      <c r="S5" s="260">
        <f t="shared" si="0"/>
        <v>65471963</v>
      </c>
      <c r="T5" s="260">
        <f t="shared" si="0"/>
        <v>68806576</v>
      </c>
      <c r="U5" s="260">
        <f t="shared" si="0"/>
        <v>71385257</v>
      </c>
      <c r="V5" s="260">
        <f t="shared" si="0"/>
        <v>76345010.272</v>
      </c>
      <c r="W5" s="260">
        <f t="shared" si="0"/>
        <v>81878152</v>
      </c>
    </row>
    <row r="6" spans="2:23" x14ac:dyDescent="0.2">
      <c r="B6" s="259" t="s">
        <v>1063</v>
      </c>
      <c r="D6" s="865">
        <v>0.84995200000000004</v>
      </c>
      <c r="E6" s="865">
        <v>0.72498799999999997</v>
      </c>
      <c r="F6" s="865">
        <v>0.68706400000000001</v>
      </c>
      <c r="G6" s="865">
        <v>0.8236</v>
      </c>
      <c r="H6" s="865">
        <v>1.1511365461847389</v>
      </c>
      <c r="I6" s="865">
        <v>1.7155976095617529</v>
      </c>
      <c r="J6" s="865">
        <v>1.9230200803212851</v>
      </c>
      <c r="K6" s="865">
        <v>2.1309126984126983</v>
      </c>
      <c r="L6" s="865">
        <v>2.9644466403162055</v>
      </c>
      <c r="M6" s="865">
        <v>1.6642896825396825</v>
      </c>
      <c r="N6" s="865">
        <v>2.1498804780876495</v>
      </c>
      <c r="O6" s="865">
        <v>2.9985119047619047</v>
      </c>
      <c r="P6" s="865">
        <v>3.0561904761904763</v>
      </c>
      <c r="Q6" s="865">
        <v>2.9204920634920635</v>
      </c>
      <c r="R6" s="865">
        <v>2.6927023809523809</v>
      </c>
      <c r="S6" s="865">
        <v>1.5217936507936507</v>
      </c>
      <c r="T6" s="865">
        <v>1.2517063492063492</v>
      </c>
      <c r="U6" s="865">
        <v>1.5579400000000001</v>
      </c>
      <c r="V6" s="865">
        <v>2.02685140562249</v>
      </c>
      <c r="W6" s="865">
        <v>1.878710843373494</v>
      </c>
    </row>
    <row r="9" spans="2:23" x14ac:dyDescent="0.2">
      <c r="B9" s="259" t="s">
        <v>1064</v>
      </c>
      <c r="C9" s="259" t="s">
        <v>1065</v>
      </c>
      <c r="D9" s="259">
        <v>2020</v>
      </c>
      <c r="E9" s="259">
        <v>2021</v>
      </c>
      <c r="F9" s="259">
        <v>2022</v>
      </c>
      <c r="G9" s="259">
        <v>2023</v>
      </c>
      <c r="H9" s="259">
        <v>2024</v>
      </c>
      <c r="I9" s="259">
        <v>2025</v>
      </c>
      <c r="J9" s="259">
        <v>2026</v>
      </c>
      <c r="K9" s="259">
        <v>2027</v>
      </c>
      <c r="O9" s="261" t="s">
        <v>1066</v>
      </c>
      <c r="P9" s="259">
        <v>2019</v>
      </c>
      <c r="Q9" s="259">
        <v>2020</v>
      </c>
      <c r="R9" s="259">
        <v>2021</v>
      </c>
    </row>
    <row r="10" spans="2:23" x14ac:dyDescent="0.2">
      <c r="B10" s="259" t="s">
        <v>1062</v>
      </c>
      <c r="D10" s="261">
        <v>1598026.477380625</v>
      </c>
      <c r="E10" s="261">
        <v>1771457.3092709724</v>
      </c>
      <c r="F10" s="259">
        <f t="shared" ref="F10:K10" si="1">E10*(1+F11)</f>
        <v>1789171.8823636821</v>
      </c>
      <c r="G10" s="259">
        <f t="shared" si="1"/>
        <v>1807063.601187319</v>
      </c>
      <c r="H10" s="259">
        <f t="shared" si="1"/>
        <v>1825134.2371991922</v>
      </c>
      <c r="I10" s="259">
        <f t="shared" si="1"/>
        <v>1843385.579571184</v>
      </c>
      <c r="J10" s="259">
        <f t="shared" si="1"/>
        <v>1861819.4353668957</v>
      </c>
      <c r="K10" s="259">
        <f t="shared" si="1"/>
        <v>1880437.6297205647</v>
      </c>
      <c r="O10" s="259" t="s">
        <v>1067</v>
      </c>
      <c r="P10" s="260">
        <v>695584.4375</v>
      </c>
      <c r="Q10" s="260">
        <f>P10*(1+Q11)</f>
        <v>646559.64634500002</v>
      </c>
      <c r="R10" s="260">
        <f>Q10*(1+R11)</f>
        <v>715592.81978525571</v>
      </c>
    </row>
    <row r="11" spans="2:23" ht="16" x14ac:dyDescent="0.2">
      <c r="B11" s="259" t="s">
        <v>1068</v>
      </c>
      <c r="E11" s="262"/>
      <c r="F11" s="262">
        <v>0.01</v>
      </c>
      <c r="G11" s="262">
        <v>0.01</v>
      </c>
      <c r="H11" s="262">
        <v>0.01</v>
      </c>
      <c r="I11" s="262">
        <v>0.01</v>
      </c>
      <c r="J11" s="262">
        <v>0.01</v>
      </c>
      <c r="K11" s="262">
        <v>0.01</v>
      </c>
      <c r="O11" s="259" t="s">
        <v>1069</v>
      </c>
      <c r="P11" s="260"/>
      <c r="Q11" s="263">
        <f>-7.048/(100)</f>
        <v>-7.0480000000000001E-2</v>
      </c>
      <c r="R11" s="263">
        <f>10.677/(100)</f>
        <v>0.10676999999999999</v>
      </c>
    </row>
    <row r="12" spans="2:23" ht="16" x14ac:dyDescent="0.2">
      <c r="B12" s="259" t="s">
        <v>1063</v>
      </c>
      <c r="C12" s="259" t="s">
        <v>1070</v>
      </c>
      <c r="F12" s="264">
        <v>3.43</v>
      </c>
      <c r="G12" s="264">
        <v>3.1</v>
      </c>
      <c r="H12" s="264">
        <v>2.38</v>
      </c>
      <c r="I12" s="264">
        <v>2.38</v>
      </c>
      <c r="J12" s="264">
        <v>2.38</v>
      </c>
      <c r="K12" s="264">
        <v>2.38</v>
      </c>
      <c r="O12" s="259" t="s">
        <v>1071</v>
      </c>
      <c r="P12" s="260">
        <v>443616.21875</v>
      </c>
      <c r="Q12" s="260">
        <f>P12*(1+Q13)</f>
        <v>417096.841193125</v>
      </c>
      <c r="R12" s="260">
        <f>Q12*(1+R13)</f>
        <v>465763.70062353881</v>
      </c>
    </row>
    <row r="13" spans="2:23" ht="16" x14ac:dyDescent="0.2">
      <c r="O13" s="259" t="s">
        <v>1072</v>
      </c>
      <c r="P13" s="260"/>
      <c r="Q13" s="263">
        <f>-5.978/(100)</f>
        <v>-5.978E-2</v>
      </c>
      <c r="R13" s="263">
        <f>11.668/(100)</f>
        <v>0.11667999999999999</v>
      </c>
    </row>
    <row r="14" spans="2:23" x14ac:dyDescent="0.2">
      <c r="O14" s="259" t="s">
        <v>1073</v>
      </c>
      <c r="P14" s="260">
        <v>399324.96875</v>
      </c>
      <c r="Q14" s="260">
        <f>P14*(1+Q15)</f>
        <v>355343.31669187499</v>
      </c>
      <c r="R14" s="260">
        <f>Q14*(1+R15)</f>
        <v>403492.33610362402</v>
      </c>
    </row>
    <row r="15" spans="2:23" ht="16" x14ac:dyDescent="0.2">
      <c r="B15" s="259" t="s">
        <v>1074</v>
      </c>
      <c r="D15" s="259">
        <v>2020</v>
      </c>
      <c r="E15" s="259">
        <v>2021</v>
      </c>
      <c r="F15" s="259">
        <v>2022</v>
      </c>
      <c r="G15" s="259">
        <v>2023</v>
      </c>
      <c r="H15" s="259">
        <v>2024</v>
      </c>
      <c r="I15" s="259">
        <v>2025</v>
      </c>
      <c r="J15" s="259">
        <v>2026</v>
      </c>
      <c r="K15" s="259">
        <v>2027</v>
      </c>
      <c r="O15" s="259" t="s">
        <v>1075</v>
      </c>
      <c r="P15" s="260"/>
      <c r="Q15" s="263">
        <f>-11.014/(100)</f>
        <v>-0.11013999999999999</v>
      </c>
      <c r="R15" s="263">
        <f>13.55/(100)</f>
        <v>0.13550000000000001</v>
      </c>
    </row>
    <row r="16" spans="2:23" x14ac:dyDescent="0.2">
      <c r="B16" s="259" t="s">
        <v>1076</v>
      </c>
      <c r="D16" s="259">
        <f t="shared" ref="D16:K16" si="2">LN(D10)</f>
        <v>14.284279974245324</v>
      </c>
      <c r="E16" s="259">
        <f t="shared" si="2"/>
        <v>14.38731310436391</v>
      </c>
      <c r="F16" s="259">
        <f t="shared" si="2"/>
        <v>14.397263435217077</v>
      </c>
      <c r="G16" s="259">
        <f t="shared" si="2"/>
        <v>14.407213766070246</v>
      </c>
      <c r="H16" s="259">
        <f t="shared" si="2"/>
        <v>14.417164096923415</v>
      </c>
      <c r="I16" s="259">
        <f t="shared" si="2"/>
        <v>14.427114427776582</v>
      </c>
      <c r="J16" s="259">
        <f t="shared" si="2"/>
        <v>14.43706475862975</v>
      </c>
      <c r="K16" s="259">
        <f t="shared" si="2"/>
        <v>14.447015089482917</v>
      </c>
      <c r="O16" s="259" t="s">
        <v>1077</v>
      </c>
      <c r="P16" s="866">
        <v>194146.828125</v>
      </c>
      <c r="Q16" s="260">
        <f>P16*(1+Q17)</f>
        <v>179026.67315062502</v>
      </c>
      <c r="R16" s="260">
        <f>Q16*(1+R17)</f>
        <v>186608.45275855402</v>
      </c>
    </row>
    <row r="17" spans="2:18" ht="16" x14ac:dyDescent="0.2">
      <c r="B17" s="259" t="s">
        <v>1078</v>
      </c>
      <c r="F17" s="259">
        <f t="shared" ref="F17:K17" si="3">LN(F12)</f>
        <v>1.2325602611778486</v>
      </c>
      <c r="G17" s="259">
        <f t="shared" si="3"/>
        <v>1.1314021114911006</v>
      </c>
      <c r="H17" s="259">
        <f t="shared" si="3"/>
        <v>0.86710048768338333</v>
      </c>
      <c r="I17" s="259">
        <f t="shared" si="3"/>
        <v>0.86710048768338333</v>
      </c>
      <c r="J17" s="259">
        <f t="shared" si="3"/>
        <v>0.86710048768338333</v>
      </c>
      <c r="K17" s="259">
        <f t="shared" si="3"/>
        <v>0.86710048768338333</v>
      </c>
      <c r="O17" s="259" t="s">
        <v>1079</v>
      </c>
      <c r="P17" s="260"/>
      <c r="Q17" s="263">
        <f>-7.788/(100)</f>
        <v>-7.7880000000000005E-2</v>
      </c>
      <c r="R17" s="263">
        <f>4.235/(100)</f>
        <v>4.2350000000000006E-2</v>
      </c>
    </row>
    <row r="18" spans="2:18" x14ac:dyDescent="0.2">
      <c r="B18" s="259" t="s">
        <v>1080</v>
      </c>
      <c r="D18" s="259">
        <f>LN(P26)</f>
        <v>17.116708408473759</v>
      </c>
      <c r="F18" s="259">
        <f t="shared" ref="F18:K18" si="4">$P$21+$P$22*F16+$P$23*F17</f>
        <v>17.937727225640952</v>
      </c>
      <c r="G18" s="259">
        <f t="shared" si="4"/>
        <v>17.997622372639647</v>
      </c>
      <c r="H18" s="259">
        <f t="shared" si="4"/>
        <v>18.115010984087196</v>
      </c>
      <c r="I18" s="259">
        <f t="shared" si="4"/>
        <v>18.13925694245567</v>
      </c>
      <c r="J18" s="259">
        <f t="shared" si="4"/>
        <v>18.163502900824152</v>
      </c>
      <c r="K18" s="259">
        <f t="shared" si="4"/>
        <v>18.187748859192634</v>
      </c>
      <c r="O18" s="259" t="s">
        <v>141</v>
      </c>
      <c r="P18" s="260">
        <f>SUM(P10,P12,P14,P16)</f>
        <v>1732672.453125</v>
      </c>
      <c r="Q18" s="265">
        <f>SUM(Q10,Q12,Q14,Q16)</f>
        <v>1598026.477380625</v>
      </c>
      <c r="R18" s="265">
        <f>SUM(R10,R12,R14,R16)</f>
        <v>1771457.3092709724</v>
      </c>
    </row>
    <row r="19" spans="2:18" ht="16" thickBot="1" x14ac:dyDescent="0.25">
      <c r="B19" s="259" t="s">
        <v>1081</v>
      </c>
      <c r="D19" s="260">
        <f>EXP(D18)</f>
        <v>27145135.267999981</v>
      </c>
      <c r="E19" s="260"/>
      <c r="F19" s="260">
        <f t="shared" ref="F19:K19" si="5">EXP(F18)</f>
        <v>61695849.997994058</v>
      </c>
      <c r="G19" s="260">
        <f t="shared" si="5"/>
        <v>65504039.642803125</v>
      </c>
      <c r="H19" s="260">
        <f t="shared" si="5"/>
        <v>73662984.403164417</v>
      </c>
      <c r="I19" s="260">
        <f t="shared" si="5"/>
        <v>75470842.11364615</v>
      </c>
      <c r="J19" s="260">
        <f t="shared" si="5"/>
        <v>77323068.777244136</v>
      </c>
      <c r="K19" s="260">
        <f t="shared" si="5"/>
        <v>79220753.309301808</v>
      </c>
    </row>
    <row r="20" spans="2:18" x14ac:dyDescent="0.2">
      <c r="O20" s="266" t="s">
        <v>1082</v>
      </c>
      <c r="P20" s="267" t="s">
        <v>940</v>
      </c>
    </row>
    <row r="21" spans="2:18" x14ac:dyDescent="0.2">
      <c r="O21" s="259" t="s">
        <v>947</v>
      </c>
      <c r="P21" s="259">
        <f>SSC_regression!K22</f>
        <v>-16.70969892430082</v>
      </c>
    </row>
    <row r="22" spans="2:18" ht="16" x14ac:dyDescent="0.2">
      <c r="D22" s="268" t="s">
        <v>1083</v>
      </c>
      <c r="E22" s="269">
        <f>(K19/F19)^(1/5)-1</f>
        <v>5.1275644931383368E-2</v>
      </c>
      <c r="O22" s="259" t="s">
        <v>948</v>
      </c>
      <c r="P22" s="259">
        <f>SSC_regression!K23</f>
        <v>2.436698711456482</v>
      </c>
    </row>
    <row r="23" spans="2:18" ht="16" thickBot="1" x14ac:dyDescent="0.25">
      <c r="D23" s="259" t="s">
        <v>1083</v>
      </c>
      <c r="E23" s="840">
        <f>(K19/F19)^(1/5)-1</f>
        <v>5.1275644931383368E-2</v>
      </c>
      <c r="O23" s="270" t="s">
        <v>949</v>
      </c>
      <c r="P23" s="270">
        <f>SSC_regression!K24</f>
        <v>-0.35241044582770875</v>
      </c>
    </row>
    <row r="25" spans="2:18" x14ac:dyDescent="0.2">
      <c r="O25" s="259" t="s">
        <v>1074</v>
      </c>
      <c r="P25" s="259" t="s">
        <v>1084</v>
      </c>
    </row>
    <row r="26" spans="2:18" x14ac:dyDescent="0.2">
      <c r="O26" s="259" t="s">
        <v>1085</v>
      </c>
      <c r="P26" s="259">
        <v>27145135.267999999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6EF65-6458-D04E-9BDA-0DA9887FEF0A}">
  <sheetPr>
    <tabColor theme="5" tint="0.79998168889431442"/>
  </sheetPr>
  <dimension ref="A3:U59"/>
  <sheetViews>
    <sheetView zoomScale="75" zoomScaleNormal="80" workbookViewId="0"/>
  </sheetViews>
  <sheetFormatPr baseColWidth="10" defaultColWidth="8.6640625" defaultRowHeight="15" x14ac:dyDescent="0.2"/>
  <cols>
    <col min="1" max="1" width="28" style="72" customWidth="1"/>
    <col min="2" max="3" width="9.1640625" style="72" bestFit="1" customWidth="1"/>
    <col min="4" max="4" width="12.1640625" style="72" customWidth="1"/>
    <col min="5" max="5" width="9.1640625" style="72" bestFit="1" customWidth="1"/>
    <col min="6" max="6" width="10.1640625" style="72" bestFit="1" customWidth="1"/>
    <col min="7" max="7" width="11" style="72" bestFit="1" customWidth="1"/>
    <col min="8" max="11" width="10.33203125" style="72" bestFit="1" customWidth="1"/>
    <col min="12" max="12" width="10.83203125" style="72" bestFit="1" customWidth="1"/>
    <col min="13" max="19" width="10.33203125" style="72" bestFit="1" customWidth="1"/>
    <col min="20" max="16384" width="8.6640625" style="72"/>
  </cols>
  <sheetData>
    <row r="3" spans="1:19" x14ac:dyDescent="0.2">
      <c r="G3" s="72" t="s">
        <v>996</v>
      </c>
      <c r="H3" s="72" t="s">
        <v>996</v>
      </c>
      <c r="I3" s="72" t="s">
        <v>996</v>
      </c>
      <c r="J3" s="72" t="s">
        <v>996</v>
      </c>
      <c r="K3" s="72" t="s">
        <v>996</v>
      </c>
      <c r="L3" s="72" t="s">
        <v>996</v>
      </c>
      <c r="M3" s="72" t="s">
        <v>996</v>
      </c>
      <c r="N3" s="72" t="s">
        <v>997</v>
      </c>
      <c r="O3" s="72" t="s">
        <v>998</v>
      </c>
      <c r="P3" s="72" t="s">
        <v>998</v>
      </c>
      <c r="Q3" s="72" t="s">
        <v>998</v>
      </c>
      <c r="R3" s="72" t="s">
        <v>998</v>
      </c>
      <c r="S3" s="72" t="s">
        <v>998</v>
      </c>
    </row>
    <row r="4" spans="1:19" x14ac:dyDescent="0.2">
      <c r="A4" s="238" t="s">
        <v>1086</v>
      </c>
      <c r="B4" s="238">
        <v>2010</v>
      </c>
      <c r="C4" s="238">
        <v>2011</v>
      </c>
      <c r="D4" s="238">
        <v>2012</v>
      </c>
      <c r="E4" s="238">
        <v>2013</v>
      </c>
      <c r="F4" s="238">
        <v>2014</v>
      </c>
      <c r="G4" s="238">
        <v>2015</v>
      </c>
      <c r="H4" s="238">
        <v>2016</v>
      </c>
      <c r="I4" s="238">
        <v>2017</v>
      </c>
      <c r="J4" s="238">
        <v>2018</v>
      </c>
      <c r="K4" s="238">
        <v>2019</v>
      </c>
      <c r="L4" s="238">
        <v>2020</v>
      </c>
      <c r="M4" s="238">
        <v>2021</v>
      </c>
      <c r="N4" s="238">
        <v>2022</v>
      </c>
      <c r="O4" s="71">
        <v>2023</v>
      </c>
      <c r="P4" s="71">
        <v>2024</v>
      </c>
      <c r="Q4" s="71">
        <v>2025</v>
      </c>
      <c r="R4" s="71">
        <v>2026</v>
      </c>
      <c r="S4" s="71">
        <v>2027</v>
      </c>
    </row>
    <row r="5" spans="1:19" x14ac:dyDescent="0.2">
      <c r="A5" s="239" t="s">
        <v>44</v>
      </c>
      <c r="B5" s="65">
        <v>4629210</v>
      </c>
      <c r="C5" s="65">
        <v>5369559</v>
      </c>
      <c r="D5" s="65">
        <v>6345222</v>
      </c>
      <c r="E5" s="65">
        <v>7014908</v>
      </c>
      <c r="F5" s="65">
        <v>7302247</v>
      </c>
      <c r="G5" s="65">
        <v>7324006</v>
      </c>
      <c r="H5" s="65">
        <v>7980119</v>
      </c>
      <c r="I5" s="65">
        <v>7876321</v>
      </c>
      <c r="J5" s="65">
        <v>8206661</v>
      </c>
      <c r="K5" s="65">
        <v>8779272</v>
      </c>
      <c r="L5" s="65">
        <v>3687207</v>
      </c>
      <c r="M5" s="65">
        <v>5395804</v>
      </c>
      <c r="N5" s="65"/>
    </row>
    <row r="6" spans="1:19" x14ac:dyDescent="0.2">
      <c r="A6" s="239" t="s">
        <v>1087</v>
      </c>
      <c r="B6" s="65">
        <v>1151861</v>
      </c>
      <c r="C6" s="65">
        <v>1362328</v>
      </c>
      <c r="D6" s="65">
        <v>1687513</v>
      </c>
      <c r="E6" s="65">
        <v>2169635</v>
      </c>
      <c r="F6" s="65">
        <v>2414076</v>
      </c>
      <c r="G6" s="65">
        <v>2572820</v>
      </c>
      <c r="H6" s="65">
        <v>2855260</v>
      </c>
      <c r="I6" s="65">
        <v>3576877</v>
      </c>
      <c r="J6" s="65">
        <v>5237582</v>
      </c>
      <c r="K6" s="65">
        <v>6206233</v>
      </c>
      <c r="L6" s="65">
        <v>2693501</v>
      </c>
      <c r="M6" s="65">
        <v>3718439</v>
      </c>
      <c r="N6" s="65"/>
    </row>
    <row r="7" spans="1:19" x14ac:dyDescent="0.2">
      <c r="A7" s="239" t="s">
        <v>45</v>
      </c>
      <c r="B7" s="65">
        <v>193659</v>
      </c>
      <c r="C7" s="65">
        <v>293101</v>
      </c>
      <c r="D7" s="65">
        <v>302106</v>
      </c>
      <c r="E7" s="65">
        <v>288659</v>
      </c>
      <c r="F7" s="65">
        <v>97267</v>
      </c>
      <c r="G7" s="65">
        <v>1288</v>
      </c>
      <c r="H7" s="65">
        <v>579</v>
      </c>
      <c r="I7" s="65">
        <v>144430</v>
      </c>
      <c r="J7" s="65">
        <v>16527</v>
      </c>
      <c r="K7" s="65">
        <v>0</v>
      </c>
      <c r="L7" s="65">
        <v>0</v>
      </c>
      <c r="M7" s="65">
        <v>0</v>
      </c>
      <c r="N7" s="65"/>
    </row>
    <row r="8" spans="1:19" x14ac:dyDescent="0.2">
      <c r="A8" s="239" t="s">
        <v>141</v>
      </c>
      <c r="B8" s="65">
        <v>5974730</v>
      </c>
      <c r="C8" s="65">
        <v>7024988</v>
      </c>
      <c r="D8" s="65">
        <v>8334841</v>
      </c>
      <c r="E8" s="65">
        <v>9473202</v>
      </c>
      <c r="F8" s="65">
        <v>9813590</v>
      </c>
      <c r="G8" s="65">
        <v>9898114</v>
      </c>
      <c r="H8" s="65">
        <v>10835958</v>
      </c>
      <c r="I8" s="65">
        <v>11597628</v>
      </c>
      <c r="J8" s="65">
        <v>13460770</v>
      </c>
      <c r="K8" s="65">
        <v>14985505</v>
      </c>
      <c r="L8" s="65">
        <v>6380708</v>
      </c>
      <c r="M8" s="65">
        <v>9114243</v>
      </c>
      <c r="N8" s="65"/>
    </row>
    <row r="10" spans="1:19" x14ac:dyDescent="0.2">
      <c r="A10" s="238" t="s">
        <v>1088</v>
      </c>
    </row>
    <row r="11" spans="1:19" x14ac:dyDescent="0.2">
      <c r="A11" s="72" t="s">
        <v>44</v>
      </c>
      <c r="D11" s="72">
        <v>4488512</v>
      </c>
      <c r="E11" s="72">
        <v>5256240</v>
      </c>
      <c r="F11" s="72">
        <v>5655413</v>
      </c>
      <c r="G11" s="72">
        <v>6213918</v>
      </c>
      <c r="H11" s="72">
        <v>6627050</v>
      </c>
      <c r="I11" s="72">
        <v>6746867</v>
      </c>
      <c r="J11" s="72">
        <v>7393426</v>
      </c>
      <c r="K11" s="72">
        <v>8604304</v>
      </c>
      <c r="L11" s="72">
        <v>3075744</v>
      </c>
      <c r="M11" s="72">
        <v>5493661</v>
      </c>
    </row>
    <row r="12" spans="1:19" x14ac:dyDescent="0.2">
      <c r="A12" s="72" t="s">
        <v>1089</v>
      </c>
      <c r="D12" s="72">
        <v>785763</v>
      </c>
      <c r="E12" s="72">
        <v>627172</v>
      </c>
      <c r="F12" s="72">
        <v>624680</v>
      </c>
      <c r="G12" s="72">
        <v>598928</v>
      </c>
      <c r="H12" s="72">
        <v>486526</v>
      </c>
      <c r="I12" s="72">
        <v>681329</v>
      </c>
      <c r="J12" s="72">
        <v>1118829</v>
      </c>
      <c r="K12" s="72">
        <v>3181721</v>
      </c>
      <c r="L12" s="72">
        <v>1591883</v>
      </c>
      <c r="M12" s="72">
        <v>2379912</v>
      </c>
    </row>
    <row r="13" spans="1:19" x14ac:dyDescent="0.2">
      <c r="A13" s="72" t="s">
        <v>45</v>
      </c>
      <c r="D13" s="72">
        <v>1947129</v>
      </c>
      <c r="E13" s="72">
        <v>2406656</v>
      </c>
      <c r="F13" s="72">
        <v>2670072</v>
      </c>
      <c r="G13" s="72">
        <v>3192398</v>
      </c>
      <c r="H13" s="72">
        <v>3680455</v>
      </c>
      <c r="I13" s="72">
        <v>4280102</v>
      </c>
      <c r="J13" s="72">
        <v>4198410</v>
      </c>
      <c r="K13" s="72">
        <v>2042163</v>
      </c>
      <c r="L13" s="72">
        <v>208925</v>
      </c>
      <c r="M13" s="72">
        <v>261713</v>
      </c>
    </row>
    <row r="14" spans="1:19" x14ac:dyDescent="0.2">
      <c r="A14" s="72" t="s">
        <v>1027</v>
      </c>
      <c r="D14" s="72">
        <v>7221404</v>
      </c>
      <c r="E14" s="72">
        <v>8290068</v>
      </c>
      <c r="F14" s="72">
        <v>8950165</v>
      </c>
      <c r="G14" s="72">
        <v>10005244</v>
      </c>
      <c r="H14" s="72">
        <v>10794031</v>
      </c>
      <c r="I14" s="72">
        <v>11708298</v>
      </c>
      <c r="J14" s="72">
        <v>12710665</v>
      </c>
      <c r="K14" s="72">
        <v>13828188</v>
      </c>
      <c r="L14" s="72">
        <v>4876552</v>
      </c>
      <c r="M14" s="72">
        <v>8135286</v>
      </c>
    </row>
    <row r="16" spans="1:19" x14ac:dyDescent="0.2">
      <c r="A16" s="71" t="s">
        <v>1090</v>
      </c>
    </row>
    <row r="17" spans="1:21" x14ac:dyDescent="0.2">
      <c r="A17" s="72" t="s">
        <v>1031</v>
      </c>
      <c r="F17" s="65">
        <v>13839652</v>
      </c>
      <c r="G17" s="65">
        <v>15430530</v>
      </c>
      <c r="H17" s="65">
        <v>15946804</v>
      </c>
      <c r="I17" s="65">
        <v>14922584</v>
      </c>
      <c r="J17" s="65">
        <v>15289316</v>
      </c>
      <c r="K17" s="65">
        <v>15413797</v>
      </c>
      <c r="L17" s="65">
        <v>4378240</v>
      </c>
      <c r="M17" s="65">
        <v>9112191</v>
      </c>
    </row>
    <row r="18" spans="1:21" x14ac:dyDescent="0.2">
      <c r="A18" s="72" t="s">
        <v>44</v>
      </c>
      <c r="F18" s="65">
        <v>4407208</v>
      </c>
      <c r="G18" s="65">
        <v>4637632</v>
      </c>
      <c r="H18" s="65">
        <v>4873385</v>
      </c>
      <c r="I18" s="65">
        <v>4867605</v>
      </c>
      <c r="J18" s="65">
        <v>5080897</v>
      </c>
      <c r="K18" s="65">
        <v>5933921</v>
      </c>
      <c r="L18" s="65">
        <v>2165847</v>
      </c>
      <c r="M18" s="65">
        <v>5894500</v>
      </c>
    </row>
    <row r="19" spans="1:21" x14ac:dyDescent="0.2">
      <c r="A19" s="72" t="s">
        <v>1091</v>
      </c>
      <c r="F19" s="65">
        <v>4491866</v>
      </c>
      <c r="G19" s="65">
        <v>4974972</v>
      </c>
      <c r="H19" s="65">
        <v>5327362</v>
      </c>
      <c r="I19" s="65">
        <v>5598615</v>
      </c>
      <c r="J19" s="65">
        <v>6052642</v>
      </c>
      <c r="K19" s="65">
        <v>7465865</v>
      </c>
      <c r="L19" s="65">
        <v>3149887</v>
      </c>
      <c r="M19" s="65">
        <v>8297719</v>
      </c>
    </row>
    <row r="20" spans="1:21" x14ac:dyDescent="0.2">
      <c r="A20" s="72" t="s">
        <v>45</v>
      </c>
      <c r="F20" s="65">
        <v>863282</v>
      </c>
      <c r="G20" s="65">
        <v>813300</v>
      </c>
      <c r="H20" s="65">
        <v>764354</v>
      </c>
      <c r="I20" s="65">
        <v>713293</v>
      </c>
      <c r="J20" s="65">
        <v>727581</v>
      </c>
      <c r="K20" s="65">
        <v>1195526</v>
      </c>
      <c r="L20" s="65">
        <v>530531</v>
      </c>
      <c r="M20" s="65">
        <v>977170</v>
      </c>
    </row>
    <row r="21" spans="1:21" x14ac:dyDescent="0.2">
      <c r="A21" s="72" t="s">
        <v>1027</v>
      </c>
      <c r="F21" s="65">
        <v>23602008</v>
      </c>
      <c r="G21" s="65">
        <v>25856434</v>
      </c>
      <c r="H21" s="65">
        <v>26911905</v>
      </c>
      <c r="I21" s="65">
        <v>26102097</v>
      </c>
      <c r="J21" s="65">
        <v>27150436</v>
      </c>
      <c r="K21" s="65">
        <v>30009109</v>
      </c>
      <c r="L21" s="65">
        <v>10224505</v>
      </c>
      <c r="M21" s="65">
        <v>24281580</v>
      </c>
    </row>
    <row r="22" spans="1:21" x14ac:dyDescent="0.2">
      <c r="F22" s="65"/>
      <c r="G22" s="65"/>
      <c r="H22" s="65"/>
      <c r="I22" s="65"/>
      <c r="J22" s="65"/>
      <c r="K22" s="65"/>
      <c r="L22" s="65"/>
      <c r="M22" s="65"/>
    </row>
    <row r="23" spans="1:21" x14ac:dyDescent="0.2">
      <c r="F23" s="72" t="s">
        <v>996</v>
      </c>
      <c r="G23" s="72" t="s">
        <v>996</v>
      </c>
      <c r="H23" s="72" t="s">
        <v>996</v>
      </c>
      <c r="I23" s="72" t="s">
        <v>996</v>
      </c>
      <c r="J23" s="72" t="s">
        <v>996</v>
      </c>
      <c r="K23" s="72" t="s">
        <v>996</v>
      </c>
      <c r="L23" s="72" t="s">
        <v>996</v>
      </c>
      <c r="M23" s="72" t="s">
        <v>996</v>
      </c>
      <c r="N23" s="72" t="s">
        <v>997</v>
      </c>
      <c r="O23" s="72" t="s">
        <v>998</v>
      </c>
      <c r="P23" s="72" t="s">
        <v>998</v>
      </c>
      <c r="Q23" s="72" t="s">
        <v>998</v>
      </c>
      <c r="R23" s="72" t="s">
        <v>998</v>
      </c>
      <c r="S23" s="72" t="s">
        <v>998</v>
      </c>
    </row>
    <row r="24" spans="1:21" x14ac:dyDescent="0.2">
      <c r="A24" s="72" t="s">
        <v>1092</v>
      </c>
      <c r="F24" s="238">
        <v>2014</v>
      </c>
      <c r="G24" s="238">
        <v>2015</v>
      </c>
      <c r="H24" s="238">
        <v>2016</v>
      </c>
      <c r="I24" s="238">
        <v>2017</v>
      </c>
      <c r="J24" s="238">
        <v>2018</v>
      </c>
      <c r="K24" s="238">
        <v>2019</v>
      </c>
      <c r="L24" s="238">
        <v>2020</v>
      </c>
      <c r="M24" s="240">
        <v>2021</v>
      </c>
      <c r="N24" s="240">
        <v>2022</v>
      </c>
      <c r="O24" s="241">
        <v>2023</v>
      </c>
      <c r="P24" s="241">
        <v>2024</v>
      </c>
      <c r="Q24" s="241">
        <v>2025</v>
      </c>
      <c r="R24" s="241">
        <v>2026</v>
      </c>
      <c r="S24" s="241">
        <v>2027</v>
      </c>
    </row>
    <row r="25" spans="1:21" x14ac:dyDescent="0.2">
      <c r="A25" s="242" t="s">
        <v>1093</v>
      </c>
      <c r="B25" s="242"/>
      <c r="C25" s="242"/>
      <c r="D25" s="242"/>
      <c r="E25" s="242"/>
      <c r="F25" s="243">
        <v>42365763</v>
      </c>
      <c r="G25" s="243">
        <v>45759792</v>
      </c>
      <c r="H25" s="243">
        <v>48541894</v>
      </c>
      <c r="I25" s="243">
        <v>49408023</v>
      </c>
      <c r="J25" s="243">
        <v>53321871</v>
      </c>
      <c r="K25" s="243">
        <v>58822802</v>
      </c>
      <c r="L25" s="243">
        <v>21481765</v>
      </c>
      <c r="M25" s="65">
        <v>41531109</v>
      </c>
      <c r="N25" s="244">
        <f>'SSC estimate'!F19</f>
        <v>61695849.997994058</v>
      </c>
      <c r="O25" s="244">
        <f>'SSC estimate'!G19</f>
        <v>65504039.642803125</v>
      </c>
      <c r="P25" s="244">
        <f>'SSC estimate'!H19</f>
        <v>73662984.403164417</v>
      </c>
      <c r="Q25" s="244">
        <f>'SSC estimate'!I19</f>
        <v>75470842.11364615</v>
      </c>
      <c r="R25" s="244">
        <f>'SSC estimate'!J19</f>
        <v>77323068.777244136</v>
      </c>
      <c r="S25" s="244">
        <f>'SSC estimate'!K19</f>
        <v>79220753.309301808</v>
      </c>
      <c r="U25" s="1175" t="s">
        <v>1001</v>
      </c>
    </row>
    <row r="26" spans="1:21" s="73" customFormat="1" x14ac:dyDescent="0.2">
      <c r="A26" s="73" t="s">
        <v>1002</v>
      </c>
      <c r="F26" s="245"/>
      <c r="G26" s="246">
        <f>G25/F25-1</f>
        <v>8.0112542762418748E-2</v>
      </c>
      <c r="H26" s="246">
        <f t="shared" ref="H26:M26" si="0">H25/G25-1</f>
        <v>6.079795992079684E-2</v>
      </c>
      <c r="I26" s="246">
        <f t="shared" si="0"/>
        <v>1.7842917295316063E-2</v>
      </c>
      <c r="J26" s="246">
        <f t="shared" si="0"/>
        <v>7.9214827114211905E-2</v>
      </c>
      <c r="K26" s="246">
        <f t="shared" si="0"/>
        <v>0.10316462826295059</v>
      </c>
      <c r="L26" s="246">
        <f t="shared" si="0"/>
        <v>-0.63480547900455342</v>
      </c>
      <c r="M26" s="246">
        <f t="shared" si="0"/>
        <v>0.93331921283004449</v>
      </c>
      <c r="N26" s="247">
        <f>N25/M25-1</f>
        <v>0.48553341058130806</v>
      </c>
      <c r="O26" s="247">
        <f t="shared" ref="O26:S26" si="1">O25/N25-1</f>
        <v>6.1725215633351205E-2</v>
      </c>
      <c r="P26" s="247">
        <f t="shared" si="1"/>
        <v>0.12455636026193861</v>
      </c>
      <c r="Q26" s="247">
        <f t="shared" si="1"/>
        <v>2.4542281651082076E-2</v>
      </c>
      <c r="R26" s="247">
        <f t="shared" si="1"/>
        <v>2.4542281651089182E-2</v>
      </c>
      <c r="S26" s="247">
        <f t="shared" si="1"/>
        <v>2.4542281651089182E-2</v>
      </c>
      <c r="U26" s="1175"/>
    </row>
    <row r="27" spans="1:21" x14ac:dyDescent="0.2">
      <c r="A27" s="72" t="s">
        <v>1005</v>
      </c>
      <c r="F27" s="65"/>
      <c r="G27" s="65">
        <f>G25-F25</f>
        <v>3394029</v>
      </c>
      <c r="H27" s="65">
        <f t="shared" ref="H27:M27" si="2">H25-G25</f>
        <v>2782102</v>
      </c>
      <c r="I27" s="65">
        <f t="shared" si="2"/>
        <v>866129</v>
      </c>
      <c r="J27" s="65">
        <f t="shared" si="2"/>
        <v>3913848</v>
      </c>
      <c r="K27" s="65">
        <f t="shared" si="2"/>
        <v>5500931</v>
      </c>
      <c r="L27" s="65">
        <f t="shared" si="2"/>
        <v>-37341037</v>
      </c>
      <c r="M27" s="65">
        <f t="shared" si="2"/>
        <v>20049344</v>
      </c>
      <c r="N27" s="65">
        <f>N25-M25</f>
        <v>20164740.997994058</v>
      </c>
      <c r="O27" s="65">
        <f t="shared" ref="O27:S27" si="3">O25-N25</f>
        <v>3808189.6448090672</v>
      </c>
      <c r="P27" s="65">
        <f t="shared" si="3"/>
        <v>8158944.7603612915</v>
      </c>
      <c r="Q27" s="65">
        <f t="shared" si="3"/>
        <v>1807857.7104817331</v>
      </c>
      <c r="R27" s="65">
        <f t="shared" si="3"/>
        <v>1852226.6635979861</v>
      </c>
      <c r="S27" s="65">
        <f t="shared" si="3"/>
        <v>1897684.5320576727</v>
      </c>
    </row>
    <row r="29" spans="1:21" x14ac:dyDescent="0.2">
      <c r="A29" s="72" t="s">
        <v>44</v>
      </c>
      <c r="F29" s="65">
        <v>17364868</v>
      </c>
      <c r="G29" s="65">
        <v>18175556</v>
      </c>
      <c r="H29" s="65">
        <v>19480554</v>
      </c>
      <c r="I29" s="65">
        <v>19490793</v>
      </c>
      <c r="J29" s="65">
        <v>20680984</v>
      </c>
      <c r="K29" s="65">
        <v>23317497</v>
      </c>
      <c r="L29" s="65">
        <v>8928798</v>
      </c>
      <c r="M29" s="65">
        <v>16783965</v>
      </c>
      <c r="N29" s="65">
        <f>M29+N30</f>
        <v>23844996.45873066</v>
      </c>
      <c r="O29" s="65">
        <f t="shared" ref="O29:S29" si="4">N29+O30</f>
        <v>25178499.670375388</v>
      </c>
      <c r="P29" s="65">
        <f t="shared" si="4"/>
        <v>28035494.740566857</v>
      </c>
      <c r="Q29" s="65">
        <f t="shared" si="4"/>
        <v>28668547.263675891</v>
      </c>
      <c r="R29" s="65">
        <f t="shared" si="4"/>
        <v>29317136.34010718</v>
      </c>
      <c r="S29" s="65">
        <f t="shared" si="4"/>
        <v>29981643.272328068</v>
      </c>
    </row>
    <row r="30" spans="1:21" x14ac:dyDescent="0.2">
      <c r="A30" s="72" t="s">
        <v>128</v>
      </c>
      <c r="G30" s="65">
        <f>G29-F29</f>
        <v>810688</v>
      </c>
      <c r="H30" s="65">
        <f t="shared" ref="H30:M30" si="5">H29-G29</f>
        <v>1304998</v>
      </c>
      <c r="I30" s="65">
        <f t="shared" si="5"/>
        <v>10239</v>
      </c>
      <c r="J30" s="65">
        <f t="shared" si="5"/>
        <v>1190191</v>
      </c>
      <c r="K30" s="65">
        <f t="shared" si="5"/>
        <v>2636513</v>
      </c>
      <c r="L30" s="65">
        <f t="shared" si="5"/>
        <v>-14388699</v>
      </c>
      <c r="M30" s="65">
        <f t="shared" si="5"/>
        <v>7855167</v>
      </c>
      <c r="N30" s="65">
        <f>N$27*N32</f>
        <v>7061031.4587306622</v>
      </c>
      <c r="O30" s="65">
        <f t="shared" ref="O30:S30" si="6">O$27*O32</f>
        <v>1333503.2116447268</v>
      </c>
      <c r="P30" s="65">
        <f t="shared" si="6"/>
        <v>2856995.0701914672</v>
      </c>
      <c r="Q30" s="65">
        <f t="shared" si="6"/>
        <v>633052.52310903347</v>
      </c>
      <c r="R30" s="65">
        <f t="shared" si="6"/>
        <v>648589.07643128908</v>
      </c>
      <c r="S30" s="65">
        <f t="shared" si="6"/>
        <v>664506.93222088821</v>
      </c>
    </row>
    <row r="31" spans="1:21" ht="16" x14ac:dyDescent="0.2">
      <c r="A31" s="72" t="s">
        <v>1094</v>
      </c>
      <c r="G31" s="92">
        <f>G30/G$27</f>
        <v>0.23885712231686884</v>
      </c>
      <c r="H31" s="92">
        <f t="shared" ref="H31:M31" si="7">H30/H$27</f>
        <v>0.46906907079611027</v>
      </c>
      <c r="I31" s="92">
        <f t="shared" si="7"/>
        <v>1.1821564686091794E-2</v>
      </c>
      <c r="J31" s="92">
        <f t="shared" si="7"/>
        <v>0.30409739979682399</v>
      </c>
      <c r="K31" s="92">
        <f t="shared" si="7"/>
        <v>0.47928487014289034</v>
      </c>
      <c r="L31" s="92">
        <f t="shared" si="7"/>
        <v>0.38533206777305085</v>
      </c>
      <c r="M31" s="92">
        <f t="shared" si="7"/>
        <v>0.39179172146480207</v>
      </c>
    </row>
    <row r="32" spans="1:21" ht="16" x14ac:dyDescent="0.2">
      <c r="A32" s="72" t="s">
        <v>1095</v>
      </c>
      <c r="G32" s="92"/>
      <c r="H32" s="92"/>
      <c r="I32" s="92"/>
      <c r="J32" s="92"/>
      <c r="K32" s="92"/>
      <c r="L32" s="92"/>
      <c r="M32" s="92">
        <f>SUMPRODUCT(G31:M31,$G$51:$M$51)</f>
        <v>0.35016722800620537</v>
      </c>
      <c r="N32" s="92">
        <f>$M$32</f>
        <v>0.35016722800620537</v>
      </c>
      <c r="O32" s="92">
        <f t="shared" ref="O32:S32" si="8">$M$32</f>
        <v>0.35016722800620537</v>
      </c>
      <c r="P32" s="92">
        <f t="shared" si="8"/>
        <v>0.35016722800620537</v>
      </c>
      <c r="Q32" s="92">
        <f t="shared" si="8"/>
        <v>0.35016722800620537</v>
      </c>
      <c r="R32" s="92">
        <f t="shared" si="8"/>
        <v>0.35016722800620537</v>
      </c>
      <c r="S32" s="92">
        <f t="shared" si="8"/>
        <v>0.35016722800620537</v>
      </c>
    </row>
    <row r="34" spans="1:19" x14ac:dyDescent="0.2">
      <c r="A34" s="72" t="s">
        <v>1030</v>
      </c>
      <c r="F34" s="65">
        <v>7530622</v>
      </c>
      <c r="G34" s="65">
        <v>8146720</v>
      </c>
      <c r="H34" s="65">
        <v>8669148</v>
      </c>
      <c r="I34" s="65">
        <v>9856821</v>
      </c>
      <c r="J34" s="65">
        <v>12409053</v>
      </c>
      <c r="K34" s="65">
        <v>16853819</v>
      </c>
      <c r="L34" s="65">
        <v>7435271</v>
      </c>
      <c r="M34" s="65">
        <v>14396070</v>
      </c>
      <c r="N34" s="65">
        <f>M34+N35</f>
        <v>24963408.175571248</v>
      </c>
      <c r="O34" s="65">
        <f t="shared" ref="O34:S34" si="9">N34+O35</f>
        <v>26959091.027010262</v>
      </c>
      <c r="P34" s="65">
        <f t="shared" si="9"/>
        <v>31234788.317003705</v>
      </c>
      <c r="Q34" s="65">
        <f t="shared" si="9"/>
        <v>32182196.6572286</v>
      </c>
      <c r="R34" s="65">
        <f t="shared" si="9"/>
        <v>33152856.559778158</v>
      </c>
      <c r="S34" s="65">
        <f t="shared" si="9"/>
        <v>34147338.671043508</v>
      </c>
    </row>
    <row r="35" spans="1:19" x14ac:dyDescent="0.2">
      <c r="A35" s="72" t="s">
        <v>128</v>
      </c>
      <c r="G35" s="65">
        <f>G34-F34</f>
        <v>616098</v>
      </c>
      <c r="H35" s="65">
        <f t="shared" ref="H35:M35" si="10">H34-G34</f>
        <v>522428</v>
      </c>
      <c r="I35" s="65">
        <f t="shared" si="10"/>
        <v>1187673</v>
      </c>
      <c r="J35" s="65">
        <f t="shared" si="10"/>
        <v>2552232</v>
      </c>
      <c r="K35" s="65">
        <f t="shared" si="10"/>
        <v>4444766</v>
      </c>
      <c r="L35" s="65">
        <f t="shared" si="10"/>
        <v>-9418548</v>
      </c>
      <c r="M35" s="65">
        <f t="shared" si="10"/>
        <v>6960799</v>
      </c>
      <c r="N35" s="65">
        <f>N$27*N37</f>
        <v>10567338.17557125</v>
      </c>
      <c r="O35" s="65">
        <f t="shared" ref="O35:S35" si="11">O$27*O37</f>
        <v>1995682.8514390143</v>
      </c>
      <c r="P35" s="65">
        <f t="shared" si="11"/>
        <v>4275697.2899934445</v>
      </c>
      <c r="Q35" s="65">
        <f t="shared" si="11"/>
        <v>947408.34022489563</v>
      </c>
      <c r="R35" s="65">
        <f t="shared" si="11"/>
        <v>970659.90254955692</v>
      </c>
      <c r="S35" s="65">
        <f t="shared" si="11"/>
        <v>994482.11126535083</v>
      </c>
    </row>
    <row r="36" spans="1:19" ht="16" x14ac:dyDescent="0.2">
      <c r="A36" s="72" t="s">
        <v>1094</v>
      </c>
      <c r="G36" s="92">
        <f>G35/G$27</f>
        <v>0.18152408244007343</v>
      </c>
      <c r="H36" s="92">
        <f t="shared" ref="H36:M36" si="12">H35/H$27</f>
        <v>0.18778175638420158</v>
      </c>
      <c r="I36" s="92">
        <f t="shared" si="12"/>
        <v>1.371242620902891</v>
      </c>
      <c r="J36" s="92">
        <f t="shared" si="12"/>
        <v>0.65210299429104046</v>
      </c>
      <c r="K36" s="92">
        <f t="shared" si="12"/>
        <v>0.80800249994046458</v>
      </c>
      <c r="L36" s="92">
        <f t="shared" si="12"/>
        <v>0.25223048840341528</v>
      </c>
      <c r="M36" s="92">
        <f t="shared" si="12"/>
        <v>0.34718337916691938</v>
      </c>
    </row>
    <row r="37" spans="1:19" ht="16" x14ac:dyDescent="0.2">
      <c r="A37" s="72" t="s">
        <v>1095</v>
      </c>
      <c r="G37" s="92"/>
      <c r="H37" s="92"/>
      <c r="I37" s="92"/>
      <c r="J37" s="92"/>
      <c r="K37" s="92"/>
      <c r="L37" s="92"/>
      <c r="M37" s="92">
        <f>SUMPRODUCT(G36:M36,$G$51:$M$51)</f>
        <v>0.52405028046839108</v>
      </c>
      <c r="N37" s="88">
        <f>$M$37</f>
        <v>0.52405028046839108</v>
      </c>
      <c r="O37" s="88">
        <f t="shared" ref="O37:S37" si="13">$M$37</f>
        <v>0.52405028046839108</v>
      </c>
      <c r="P37" s="88">
        <f t="shared" si="13"/>
        <v>0.52405028046839108</v>
      </c>
      <c r="Q37" s="88">
        <f t="shared" si="13"/>
        <v>0.52405028046839108</v>
      </c>
      <c r="R37" s="88">
        <f t="shared" si="13"/>
        <v>0.52405028046839108</v>
      </c>
      <c r="S37" s="88">
        <f t="shared" si="13"/>
        <v>0.52405028046839108</v>
      </c>
    </row>
    <row r="39" spans="1:19" x14ac:dyDescent="0.2">
      <c r="A39" s="72" t="s">
        <v>1096</v>
      </c>
      <c r="F39" s="65">
        <v>13839652</v>
      </c>
      <c r="G39" s="65">
        <v>15430530</v>
      </c>
      <c r="H39" s="65">
        <v>15946804</v>
      </c>
      <c r="I39" s="65">
        <v>14922584</v>
      </c>
      <c r="J39" s="65">
        <v>15289316</v>
      </c>
      <c r="K39" s="65">
        <v>15413797</v>
      </c>
      <c r="L39" s="65">
        <v>4378240</v>
      </c>
      <c r="M39" s="65">
        <v>9112191</v>
      </c>
      <c r="N39" s="65">
        <f>M39+N40</f>
        <v>10307959.239878582</v>
      </c>
      <c r="O39" s="65">
        <f t="shared" ref="O39:S39" si="14">N39+O40</f>
        <v>10533784.71560129</v>
      </c>
      <c r="P39" s="65">
        <f t="shared" si="14"/>
        <v>11017609.775210749</v>
      </c>
      <c r="Q39" s="65">
        <f t="shared" si="14"/>
        <v>11124815.656636586</v>
      </c>
      <c r="R39" s="65">
        <f t="shared" si="14"/>
        <v>11234652.61499906</v>
      </c>
      <c r="S39" s="65">
        <f t="shared" si="14"/>
        <v>11347185.222929364</v>
      </c>
    </row>
    <row r="40" spans="1:19" x14ac:dyDescent="0.2">
      <c r="A40" s="72" t="s">
        <v>128</v>
      </c>
      <c r="G40" s="65">
        <f>G39-F39</f>
        <v>1590878</v>
      </c>
      <c r="H40" s="65">
        <f t="shared" ref="H40:M40" si="15">H39-G39</f>
        <v>516274</v>
      </c>
      <c r="I40" s="65">
        <f t="shared" si="15"/>
        <v>-1024220</v>
      </c>
      <c r="J40" s="65">
        <f t="shared" si="15"/>
        <v>366732</v>
      </c>
      <c r="K40" s="65">
        <f t="shared" si="15"/>
        <v>124481</v>
      </c>
      <c r="L40" s="65">
        <f t="shared" si="15"/>
        <v>-11035557</v>
      </c>
      <c r="M40" s="65">
        <f t="shared" si="15"/>
        <v>4733951</v>
      </c>
      <c r="N40" s="65">
        <f>N$27*N42</f>
        <v>1195768.2398785823</v>
      </c>
      <c r="O40" s="65">
        <f t="shared" ref="O40:S40" si="16">O$27*O42</f>
        <v>225825.47572270702</v>
      </c>
      <c r="P40" s="65">
        <f t="shared" si="16"/>
        <v>483825.0596094603</v>
      </c>
      <c r="Q40" s="65">
        <f t="shared" si="16"/>
        <v>107205.88142583704</v>
      </c>
      <c r="R40" s="65">
        <f t="shared" si="16"/>
        <v>109836.95836247386</v>
      </c>
      <c r="S40" s="65">
        <f t="shared" si="16"/>
        <v>112532.60793030511</v>
      </c>
    </row>
    <row r="41" spans="1:19" ht="16" x14ac:dyDescent="0.2">
      <c r="A41" s="72" t="s">
        <v>1094</v>
      </c>
      <c r="G41" s="92">
        <f>G40/G$27</f>
        <v>0.4687284640172491</v>
      </c>
      <c r="H41" s="92">
        <f t="shared" ref="H41:M41" si="17">H40/H$27</f>
        <v>0.1855697598434565</v>
      </c>
      <c r="I41" s="92">
        <f t="shared" si="17"/>
        <v>-1.1825259285856957</v>
      </c>
      <c r="J41" s="92">
        <f t="shared" si="17"/>
        <v>9.370113504663441E-2</v>
      </c>
      <c r="K41" s="92">
        <f t="shared" si="17"/>
        <v>2.2629078605057945E-2</v>
      </c>
      <c r="L41" s="92">
        <f t="shared" si="17"/>
        <v>0.29553429381192603</v>
      </c>
      <c r="M41" s="92">
        <f t="shared" si="17"/>
        <v>0.2361150070545949</v>
      </c>
    </row>
    <row r="42" spans="1:19" ht="16" x14ac:dyDescent="0.2">
      <c r="A42" s="72" t="s">
        <v>1095</v>
      </c>
      <c r="G42" s="92"/>
      <c r="H42" s="92"/>
      <c r="I42" s="92"/>
      <c r="J42" s="92"/>
      <c r="K42" s="92"/>
      <c r="L42" s="92"/>
      <c r="M42" s="92">
        <f>SUMPRODUCT(G41:M41,$G$51:$M$51)</f>
        <v>5.9299955303047762E-2</v>
      </c>
      <c r="N42" s="88">
        <f>$M$42</f>
        <v>5.9299955303047762E-2</v>
      </c>
      <c r="O42" s="88">
        <f t="shared" ref="O42:S42" si="18">$M$42</f>
        <v>5.9299955303047762E-2</v>
      </c>
      <c r="P42" s="88">
        <f t="shared" si="18"/>
        <v>5.9299955303047762E-2</v>
      </c>
      <c r="Q42" s="88">
        <f t="shared" si="18"/>
        <v>5.9299955303047762E-2</v>
      </c>
      <c r="R42" s="88">
        <f t="shared" si="18"/>
        <v>5.9299955303047762E-2</v>
      </c>
      <c r="S42" s="88">
        <f t="shared" si="18"/>
        <v>5.9299955303047762E-2</v>
      </c>
    </row>
    <row r="44" spans="1:19" x14ac:dyDescent="0.2">
      <c r="A44" s="72" t="s">
        <v>45</v>
      </c>
      <c r="F44" s="65">
        <v>3630621</v>
      </c>
      <c r="G44" s="65">
        <v>4006986</v>
      </c>
      <c r="H44" s="65">
        <v>4445388</v>
      </c>
      <c r="I44" s="65">
        <v>5137825</v>
      </c>
      <c r="J44" s="65">
        <v>4942518</v>
      </c>
      <c r="K44" s="65">
        <v>3237689</v>
      </c>
      <c r="L44" s="65">
        <v>739456</v>
      </c>
      <c r="M44" s="65">
        <v>1238883</v>
      </c>
      <c r="N44" s="65">
        <f>M44+N45</f>
        <v>2579486.1238135626</v>
      </c>
      <c r="O44" s="65">
        <f t="shared" ref="O44:S44" si="19">N44+O45</f>
        <v>2832664.2298161816</v>
      </c>
      <c r="P44" s="65">
        <f t="shared" si="19"/>
        <v>3375091.5703831008</v>
      </c>
      <c r="Q44" s="65">
        <f t="shared" si="19"/>
        <v>3495282.5361050679</v>
      </c>
      <c r="R44" s="65">
        <f t="shared" si="19"/>
        <v>3618423.2623597342</v>
      </c>
      <c r="S44" s="65">
        <f t="shared" si="19"/>
        <v>3744586.1430008626</v>
      </c>
    </row>
    <row r="45" spans="1:19" x14ac:dyDescent="0.2">
      <c r="A45" s="72" t="s">
        <v>128</v>
      </c>
      <c r="G45" s="65">
        <f>G44-F44</f>
        <v>376365</v>
      </c>
      <c r="H45" s="65">
        <f t="shared" ref="H45:M45" si="20">H44-G44</f>
        <v>438402</v>
      </c>
      <c r="I45" s="65">
        <f t="shared" si="20"/>
        <v>692437</v>
      </c>
      <c r="J45" s="65">
        <f t="shared" si="20"/>
        <v>-195307</v>
      </c>
      <c r="K45" s="65">
        <f t="shared" si="20"/>
        <v>-1704829</v>
      </c>
      <c r="L45" s="65">
        <f t="shared" si="20"/>
        <v>-2498233</v>
      </c>
      <c r="M45" s="65">
        <f t="shared" si="20"/>
        <v>499427</v>
      </c>
      <c r="N45" s="65">
        <f>N$27*N47</f>
        <v>1340603.1238135626</v>
      </c>
      <c r="O45" s="65">
        <f t="shared" ref="O45:S45" si="21">O$27*O47</f>
        <v>253178.10600261902</v>
      </c>
      <c r="P45" s="65">
        <f t="shared" si="21"/>
        <v>542427.34056691942</v>
      </c>
      <c r="Q45" s="65">
        <f t="shared" si="21"/>
        <v>120190.965721967</v>
      </c>
      <c r="R45" s="65">
        <f t="shared" si="21"/>
        <v>123140.72625466631</v>
      </c>
      <c r="S45" s="65">
        <f t="shared" si="21"/>
        <v>126162.8806411285</v>
      </c>
    </row>
    <row r="46" spans="1:19" ht="16" x14ac:dyDescent="0.2">
      <c r="A46" s="72" t="s">
        <v>1094</v>
      </c>
      <c r="G46" s="92">
        <f>G45/G$27</f>
        <v>0.11089033122580862</v>
      </c>
      <c r="H46" s="92">
        <f t="shared" ref="H46:M46" si="22">H45/H$27</f>
        <v>0.15757941297623165</v>
      </c>
      <c r="I46" s="92">
        <f t="shared" si="22"/>
        <v>0.79946174299671291</v>
      </c>
      <c r="J46" s="92">
        <f t="shared" si="22"/>
        <v>-4.9901529134498836E-2</v>
      </c>
      <c r="K46" s="92">
        <f t="shared" si="22"/>
        <v>-0.30991644868841295</v>
      </c>
      <c r="L46" s="92">
        <f t="shared" si="22"/>
        <v>6.6903150011607876E-2</v>
      </c>
      <c r="M46" s="92">
        <f t="shared" si="22"/>
        <v>2.4909892313683679E-2</v>
      </c>
    </row>
    <row r="47" spans="1:19" ht="16" x14ac:dyDescent="0.2">
      <c r="A47" s="72" t="s">
        <v>1095</v>
      </c>
      <c r="G47" s="92"/>
      <c r="H47" s="92"/>
      <c r="I47" s="92"/>
      <c r="J47" s="92"/>
      <c r="K47" s="92"/>
      <c r="L47" s="92"/>
      <c r="M47" s="92">
        <f>SUMPRODUCT(G46:M46,$G$51:$M$51)</f>
        <v>6.6482536222355781E-2</v>
      </c>
      <c r="N47" s="88">
        <f>$M$47</f>
        <v>6.6482536222355781E-2</v>
      </c>
      <c r="O47" s="88">
        <f t="shared" ref="O47:S47" si="23">$M$47</f>
        <v>6.6482536222355781E-2</v>
      </c>
      <c r="P47" s="88">
        <f t="shared" si="23"/>
        <v>6.6482536222355781E-2</v>
      </c>
      <c r="Q47" s="88">
        <f t="shared" si="23"/>
        <v>6.6482536222355781E-2</v>
      </c>
      <c r="R47" s="88">
        <f t="shared" si="23"/>
        <v>6.6482536222355781E-2</v>
      </c>
      <c r="S47" s="88">
        <f t="shared" si="23"/>
        <v>6.6482536222355781E-2</v>
      </c>
    </row>
    <row r="49" spans="1:21" x14ac:dyDescent="0.2">
      <c r="A49" s="72" t="s">
        <v>1019</v>
      </c>
      <c r="F49" s="72" t="s">
        <v>1097</v>
      </c>
      <c r="G49" s="72">
        <v>7</v>
      </c>
      <c r="H49" s="72">
        <v>6</v>
      </c>
      <c r="I49" s="72">
        <v>5</v>
      </c>
      <c r="J49" s="72">
        <v>4</v>
      </c>
      <c r="K49" s="72">
        <v>3</v>
      </c>
      <c r="L49" s="72">
        <v>2</v>
      </c>
      <c r="M49" s="72">
        <v>1</v>
      </c>
    </row>
    <row r="50" spans="1:21" x14ac:dyDescent="0.2">
      <c r="D50" s="72" t="s">
        <v>1098</v>
      </c>
      <c r="F50" s="72">
        <v>0.8</v>
      </c>
      <c r="G50" s="72">
        <f>$F$50^G49</f>
        <v>0.20971520000000016</v>
      </c>
      <c r="H50" s="72">
        <f t="shared" ref="H50:M50" si="24">$F$50^H49</f>
        <v>0.26214400000000015</v>
      </c>
      <c r="I50" s="72">
        <f t="shared" si="24"/>
        <v>0.32768000000000019</v>
      </c>
      <c r="J50" s="72">
        <f t="shared" si="24"/>
        <v>0.40960000000000019</v>
      </c>
      <c r="K50" s="72">
        <f t="shared" si="24"/>
        <v>0.51200000000000012</v>
      </c>
      <c r="L50" s="72">
        <f t="shared" si="24"/>
        <v>0.64000000000000012</v>
      </c>
      <c r="M50" s="72">
        <f t="shared" si="24"/>
        <v>0.8</v>
      </c>
    </row>
    <row r="51" spans="1:21" x14ac:dyDescent="0.2">
      <c r="D51" s="72" t="s">
        <v>1099</v>
      </c>
      <c r="F51" s="72">
        <f>SUM(G50:M50)</f>
        <v>3.1611392000000009</v>
      </c>
      <c r="G51" s="72">
        <f>G50/$F$51</f>
        <v>6.6341653034450401E-2</v>
      </c>
      <c r="H51" s="72">
        <f t="shared" ref="H51:M51" si="25">H50/$F$51</f>
        <v>8.2927066293062984E-2</v>
      </c>
      <c r="I51" s="72">
        <f t="shared" si="25"/>
        <v>0.10365883286632872</v>
      </c>
      <c r="J51" s="72">
        <f t="shared" si="25"/>
        <v>0.12957354108291089</v>
      </c>
      <c r="K51" s="72">
        <f t="shared" si="25"/>
        <v>0.16196692635363857</v>
      </c>
      <c r="L51" s="72">
        <f t="shared" si="25"/>
        <v>0.2024586579420482</v>
      </c>
      <c r="M51" s="72">
        <f t="shared" si="25"/>
        <v>0.25307332242756025</v>
      </c>
    </row>
    <row r="53" spans="1:21" x14ac:dyDescent="0.2">
      <c r="A53" s="248" t="s">
        <v>1100</v>
      </c>
      <c r="B53" s="248"/>
      <c r="C53" s="248"/>
      <c r="D53" s="248"/>
      <c r="E53" s="248"/>
      <c r="F53" s="240">
        <v>2014</v>
      </c>
      <c r="G53" s="240">
        <v>2015</v>
      </c>
      <c r="H53" s="240">
        <v>2016</v>
      </c>
      <c r="I53" s="240">
        <v>2017</v>
      </c>
      <c r="J53" s="240">
        <v>2018</v>
      </c>
      <c r="K53" s="240">
        <v>2019</v>
      </c>
      <c r="L53" s="240">
        <v>2020</v>
      </c>
      <c r="M53" s="240">
        <v>2021</v>
      </c>
      <c r="N53" s="240">
        <v>2022</v>
      </c>
      <c r="O53" s="241">
        <v>2023</v>
      </c>
      <c r="P53" s="241">
        <v>2024</v>
      </c>
      <c r="Q53" s="241">
        <v>2025</v>
      </c>
      <c r="R53" s="241">
        <v>2026</v>
      </c>
      <c r="S53" s="241">
        <v>2027</v>
      </c>
    </row>
    <row r="54" spans="1:21" ht="16" x14ac:dyDescent="0.2">
      <c r="A54" s="72" t="s">
        <v>44</v>
      </c>
      <c r="F54" s="92">
        <f>F29/F25</f>
        <v>0.40987974180944176</v>
      </c>
      <c r="G54" s="92">
        <f t="shared" ref="G54:S54" si="26">G29/G25</f>
        <v>0.39719489983695733</v>
      </c>
      <c r="H54" s="92">
        <f t="shared" si="26"/>
        <v>0.40131425444586072</v>
      </c>
      <c r="I54" s="92">
        <f t="shared" si="26"/>
        <v>0.39448639748244935</v>
      </c>
      <c r="J54" s="92">
        <f t="shared" si="26"/>
        <v>0.3878518066254652</v>
      </c>
      <c r="K54" s="92">
        <f t="shared" si="26"/>
        <v>0.39640235091147136</v>
      </c>
      <c r="L54" s="92">
        <f t="shared" si="26"/>
        <v>0.41564545557592686</v>
      </c>
      <c r="M54" s="92">
        <f t="shared" si="26"/>
        <v>0.40412994991296763</v>
      </c>
      <c r="N54" s="249">
        <f t="shared" si="26"/>
        <v>0.38649271319717521</v>
      </c>
      <c r="O54" s="249">
        <f t="shared" si="26"/>
        <v>0.38438086883915912</v>
      </c>
      <c r="P54" s="249">
        <f t="shared" si="26"/>
        <v>0.38059135083539336</v>
      </c>
      <c r="Q54" s="249">
        <f t="shared" si="26"/>
        <v>0.37986255964264948</v>
      </c>
      <c r="R54" s="249">
        <f t="shared" si="26"/>
        <v>0.37915122619570801</v>
      </c>
      <c r="S54" s="249">
        <f t="shared" si="26"/>
        <v>0.3784569323049814</v>
      </c>
    </row>
    <row r="55" spans="1:21" ht="16" x14ac:dyDescent="0.2">
      <c r="A55" s="72" t="s">
        <v>1030</v>
      </c>
      <c r="F55" s="92">
        <f>F34/F25</f>
        <v>0.17775254041807295</v>
      </c>
      <c r="G55" s="92">
        <f t="shared" ref="G55:S55" si="27">G34/G25</f>
        <v>0.17803227776909475</v>
      </c>
      <c r="H55" s="92">
        <f t="shared" si="27"/>
        <v>0.1785910537400951</v>
      </c>
      <c r="I55" s="92">
        <f t="shared" si="27"/>
        <v>0.19949838915837617</v>
      </c>
      <c r="J55" s="92">
        <f t="shared" si="27"/>
        <v>0.23271975958983135</v>
      </c>
      <c r="K55" s="92">
        <f t="shared" si="27"/>
        <v>0.28651846608735165</v>
      </c>
      <c r="L55" s="92">
        <f t="shared" si="27"/>
        <v>0.34612011629398237</v>
      </c>
      <c r="M55" s="92">
        <f t="shared" si="27"/>
        <v>0.3466334115951491</v>
      </c>
      <c r="N55" s="249">
        <f t="shared" si="27"/>
        <v>0.40462054054499441</v>
      </c>
      <c r="O55" s="249">
        <f t="shared" si="27"/>
        <v>0.41156379322587677</v>
      </c>
      <c r="P55" s="249">
        <f t="shared" si="27"/>
        <v>0.42402284634644699</v>
      </c>
      <c r="Q55" s="249">
        <f t="shared" si="27"/>
        <v>0.4264189421494427</v>
      </c>
      <c r="R55" s="249">
        <f t="shared" si="27"/>
        <v>0.42875764094783197</v>
      </c>
      <c r="S55" s="249">
        <f t="shared" si="27"/>
        <v>0.43104031765163803</v>
      </c>
      <c r="U55" s="250" t="s">
        <v>1101</v>
      </c>
    </row>
    <row r="56" spans="1:21" ht="16" x14ac:dyDescent="0.2">
      <c r="A56" s="72" t="s">
        <v>1031</v>
      </c>
      <c r="F56" s="92">
        <f>F39/F25</f>
        <v>0.32667066565046876</v>
      </c>
      <c r="G56" s="92">
        <f t="shared" ref="G56:S56" si="28">G39/G25</f>
        <v>0.33720717087175572</v>
      </c>
      <c r="H56" s="92">
        <f t="shared" si="28"/>
        <v>0.32851631211588078</v>
      </c>
      <c r="I56" s="92">
        <f t="shared" si="28"/>
        <v>0.30202754722648989</v>
      </c>
      <c r="J56" s="92">
        <f t="shared" si="28"/>
        <v>0.28673630000717715</v>
      </c>
      <c r="K56" s="92">
        <f t="shared" si="28"/>
        <v>0.26203778935930322</v>
      </c>
      <c r="L56" s="92">
        <f t="shared" si="28"/>
        <v>0.20381193072356951</v>
      </c>
      <c r="M56" s="92">
        <f t="shared" si="28"/>
        <v>0.21940639726235098</v>
      </c>
      <c r="N56" s="249">
        <f t="shared" si="28"/>
        <v>0.1670770277127834</v>
      </c>
      <c r="O56" s="249">
        <f t="shared" si="28"/>
        <v>0.16081122283514965</v>
      </c>
      <c r="P56" s="249">
        <f t="shared" si="28"/>
        <v>0.1495677899080268</v>
      </c>
      <c r="Q56" s="249">
        <f t="shared" si="28"/>
        <v>0.1474054793225246</v>
      </c>
      <c r="R56" s="249">
        <f t="shared" si="28"/>
        <v>0.14529496556020513</v>
      </c>
      <c r="S56" s="249">
        <f t="shared" si="28"/>
        <v>0.14323500785995455</v>
      </c>
    </row>
    <row r="57" spans="1:21" ht="16" x14ac:dyDescent="0.2">
      <c r="A57" s="72" t="s">
        <v>45</v>
      </c>
      <c r="F57" s="92">
        <f>F44/F25</f>
        <v>8.5697052122016545E-2</v>
      </c>
      <c r="G57" s="92">
        <f t="shared" ref="G57:S57" si="29">G44/G25</f>
        <v>8.7565651522192228E-2</v>
      </c>
      <c r="H57" s="92">
        <f t="shared" si="29"/>
        <v>9.1578379698163404E-2</v>
      </c>
      <c r="I57" s="92">
        <f t="shared" si="29"/>
        <v>0.10398766613268456</v>
      </c>
      <c r="J57" s="92">
        <f t="shared" si="29"/>
        <v>9.2692133777526303E-2</v>
      </c>
      <c r="K57" s="92">
        <f t="shared" si="29"/>
        <v>5.5041393641873777E-2</v>
      </c>
      <c r="L57" s="92">
        <f t="shared" si="29"/>
        <v>3.4422497406521299E-2</v>
      </c>
      <c r="M57" s="92">
        <f t="shared" si="29"/>
        <v>2.98302412295323E-2</v>
      </c>
      <c r="N57" s="249">
        <f t="shared" si="29"/>
        <v>4.1809718545046878E-2</v>
      </c>
      <c r="O57" s="249">
        <f t="shared" si="29"/>
        <v>4.3244115099814365E-2</v>
      </c>
      <c r="P57" s="249">
        <f t="shared" si="29"/>
        <v>4.5818012910132835E-2</v>
      </c>
      <c r="Q57" s="249">
        <f t="shared" si="29"/>
        <v>4.6313018885383202E-2</v>
      </c>
      <c r="R57" s="249">
        <f t="shared" si="29"/>
        <v>4.6796167296254819E-2</v>
      </c>
      <c r="S57" s="249">
        <f t="shared" si="29"/>
        <v>4.7267742183425908E-2</v>
      </c>
    </row>
    <row r="59" spans="1:21" x14ac:dyDescent="0.2">
      <c r="J59" s="72" t="s">
        <v>143</v>
      </c>
      <c r="K59" s="88">
        <f t="shared" ref="K59:S59" si="30">AVERAGE(K55:K56)</f>
        <v>0.27427812772332744</v>
      </c>
      <c r="L59" s="867">
        <f t="shared" si="30"/>
        <v>0.27496602350877597</v>
      </c>
      <c r="M59" s="867">
        <f t="shared" si="30"/>
        <v>0.28301990442875002</v>
      </c>
      <c r="N59" s="867">
        <f t="shared" si="30"/>
        <v>0.28584878412888892</v>
      </c>
      <c r="O59" s="867">
        <f t="shared" si="30"/>
        <v>0.28618750803051318</v>
      </c>
      <c r="P59" s="867">
        <f t="shared" si="30"/>
        <v>0.28679531812723691</v>
      </c>
      <c r="Q59" s="867">
        <f t="shared" si="30"/>
        <v>0.28691221073598366</v>
      </c>
      <c r="R59" s="867">
        <f t="shared" si="30"/>
        <v>0.28702630325401857</v>
      </c>
      <c r="S59" s="867">
        <f t="shared" si="30"/>
        <v>0.28713766275579627</v>
      </c>
    </row>
  </sheetData>
  <mergeCells count="1">
    <mergeCell ref="U25:U26"/>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1CBE3-EF36-ED46-9DC0-C256700DA0D9}">
  <sheetPr>
    <tabColor theme="7" tint="0.79998168889431442"/>
  </sheetPr>
  <dimension ref="A1:AB29"/>
  <sheetViews>
    <sheetView zoomScale="78" zoomScaleNormal="70" workbookViewId="0">
      <selection sqref="A1:K1"/>
    </sheetView>
  </sheetViews>
  <sheetFormatPr baseColWidth="10" defaultColWidth="8.83203125" defaultRowHeight="16" x14ac:dyDescent="0.2"/>
  <cols>
    <col min="1" max="1" width="15.1640625" bestFit="1" customWidth="1"/>
    <col min="6" max="6" width="9.33203125" customWidth="1"/>
    <col min="7" max="7" width="9.1640625" customWidth="1"/>
    <col min="15" max="15" width="14.6640625" customWidth="1"/>
    <col min="16" max="16" width="11.83203125" customWidth="1"/>
    <col min="18" max="18" width="15.1640625" bestFit="1" customWidth="1"/>
    <col min="19" max="20" width="11.33203125" bestFit="1" customWidth="1"/>
    <col min="21" max="22" width="10.33203125" bestFit="1" customWidth="1"/>
    <col min="23" max="23" width="13" customWidth="1"/>
    <col min="24" max="28" width="10.5" bestFit="1" customWidth="1"/>
  </cols>
  <sheetData>
    <row r="1" spans="1:28" x14ac:dyDescent="0.2">
      <c r="A1" s="1178" t="s">
        <v>117</v>
      </c>
      <c r="B1" s="1178"/>
      <c r="C1" s="1178"/>
      <c r="D1" s="1178"/>
      <c r="E1" s="1178"/>
      <c r="F1" s="1178"/>
      <c r="G1" s="1178"/>
      <c r="H1" s="1178"/>
      <c r="I1" s="1178"/>
      <c r="J1" s="1178"/>
      <c r="K1" s="1178"/>
      <c r="R1" s="288" t="s">
        <v>118</v>
      </c>
      <c r="S1" s="1179" t="s">
        <v>119</v>
      </c>
      <c r="T1" s="1179"/>
      <c r="U1" s="1179"/>
      <c r="V1" s="1179"/>
      <c r="W1" s="298" t="s">
        <v>120</v>
      </c>
    </row>
    <row r="2" spans="1:28" x14ac:dyDescent="0.2">
      <c r="A2" s="289" t="s">
        <v>121</v>
      </c>
      <c r="B2" s="289">
        <v>2018</v>
      </c>
      <c r="C2" s="289">
        <v>2019</v>
      </c>
      <c r="D2" s="289">
        <v>2020</v>
      </c>
      <c r="E2" s="289">
        <v>2021</v>
      </c>
      <c r="F2" s="289">
        <v>2022</v>
      </c>
      <c r="G2" s="289">
        <v>2023</v>
      </c>
      <c r="H2" s="289">
        <v>2024</v>
      </c>
      <c r="I2" s="289">
        <v>2025</v>
      </c>
      <c r="J2" s="289">
        <v>2026</v>
      </c>
      <c r="K2" s="289">
        <v>2027</v>
      </c>
      <c r="M2" s="1180" t="s">
        <v>122</v>
      </c>
      <c r="N2" s="1180"/>
      <c r="O2" s="1180"/>
      <c r="R2" t="s">
        <v>121</v>
      </c>
      <c r="S2">
        <v>2018</v>
      </c>
      <c r="T2">
        <v>2019</v>
      </c>
      <c r="U2">
        <v>2020</v>
      </c>
      <c r="V2">
        <v>2021</v>
      </c>
      <c r="W2">
        <v>2022</v>
      </c>
      <c r="X2">
        <v>2023</v>
      </c>
      <c r="Y2">
        <f t="shared" ref="Y2:AA2" si="0">X2+1</f>
        <v>2024</v>
      </c>
      <c r="Z2">
        <f t="shared" si="0"/>
        <v>2025</v>
      </c>
      <c r="AA2">
        <f t="shared" si="0"/>
        <v>2026</v>
      </c>
      <c r="AB2">
        <f>AA2+1</f>
        <v>2027</v>
      </c>
    </row>
    <row r="3" spans="1:28" x14ac:dyDescent="0.2">
      <c r="A3" t="s">
        <v>44</v>
      </c>
      <c r="B3" s="290">
        <v>0.299484728437865</v>
      </c>
      <c r="C3" s="290">
        <v>0.29264907183364613</v>
      </c>
      <c r="D3" s="290">
        <v>0.27591978982612236</v>
      </c>
      <c r="E3" s="290">
        <v>0.18004990232795459</v>
      </c>
      <c r="F3" s="290">
        <v>0.18764016587816146</v>
      </c>
      <c r="G3" s="55">
        <f>G5*$F$3/$F$5</f>
        <v>0.25163509390296956</v>
      </c>
      <c r="H3" s="55">
        <f>H5*$F$3/$F$5</f>
        <v>0.27906149162788735</v>
      </c>
      <c r="I3" s="55">
        <f>I5*$F$3/$F$5</f>
        <v>0.27906149162788735</v>
      </c>
      <c r="J3" s="55">
        <f>J5*$F$3/$F$5</f>
        <v>0.27906149162788735</v>
      </c>
      <c r="K3" s="55">
        <f>K5*$F$3/$F$5</f>
        <v>0.27906149162788735</v>
      </c>
      <c r="M3" s="1180" t="s">
        <v>121</v>
      </c>
      <c r="N3" s="1180"/>
      <c r="O3" s="289" t="s">
        <v>123</v>
      </c>
      <c r="R3" t="s">
        <v>44</v>
      </c>
      <c r="S3" s="6">
        <v>18590118</v>
      </c>
      <c r="T3" s="6">
        <v>18481071</v>
      </c>
      <c r="U3" s="6">
        <v>4695683</v>
      </c>
      <c r="V3" s="6">
        <v>3327268</v>
      </c>
      <c r="W3" s="6">
        <f t="shared" ref="W3:W14" si="1">V3*4/3</f>
        <v>4436357.333333333</v>
      </c>
    </row>
    <row r="4" spans="1:28" x14ac:dyDescent="0.2">
      <c r="A4" t="s">
        <v>124</v>
      </c>
      <c r="B4" s="290">
        <v>1.8596465915761137E-2</v>
      </c>
      <c r="C4" s="290">
        <v>1.5807106285820119E-2</v>
      </c>
      <c r="D4" s="290">
        <v>1.8409370154110666E-2</v>
      </c>
      <c r="E4" s="290">
        <v>2.5165236728152338E-2</v>
      </c>
      <c r="F4" s="290">
        <v>1.7607531351523594E-2</v>
      </c>
      <c r="G4" s="291">
        <f>G5*$F$4/$F$5</f>
        <v>2.3612603326715484E-2</v>
      </c>
      <c r="H4" s="291">
        <f>H5*$F$4/$F$5</f>
        <v>2.6186205601797716E-2</v>
      </c>
      <c r="I4" s="291">
        <f>I5*$F$4/$F$5</f>
        <v>2.6186205601797716E-2</v>
      </c>
      <c r="J4" s="291">
        <f>J5*$F$4/$F$5</f>
        <v>2.6186205601797716E-2</v>
      </c>
      <c r="K4" s="291">
        <f>K5*$F$4/$F$5</f>
        <v>2.6186205601797716E-2</v>
      </c>
      <c r="M4" s="1181" t="s">
        <v>44</v>
      </c>
      <c r="N4" s="1181"/>
      <c r="O4" s="292" t="s">
        <v>125</v>
      </c>
      <c r="R4" t="s">
        <v>124</v>
      </c>
      <c r="S4" s="6">
        <v>1154351</v>
      </c>
      <c r="T4" s="6">
        <v>998234</v>
      </c>
      <c r="U4" s="6">
        <v>313296</v>
      </c>
      <c r="V4" s="6">
        <v>465046</v>
      </c>
      <c r="W4" s="6">
        <f t="shared" si="1"/>
        <v>620061.33333333337</v>
      </c>
    </row>
    <row r="5" spans="1:28" x14ac:dyDescent="0.2">
      <c r="A5" s="293" t="s">
        <v>126</v>
      </c>
      <c r="B5" s="294">
        <f>SUM(B3:B4)</f>
        <v>0.31808119435362614</v>
      </c>
      <c r="C5" s="294">
        <f>SUM(C3:C4)</f>
        <v>0.30845617811946624</v>
      </c>
      <c r="D5" s="294">
        <f>SUM(D3:D4)</f>
        <v>0.29432915998023301</v>
      </c>
      <c r="E5" s="294">
        <f>SUM(E3:E4)</f>
        <v>0.20521513905610694</v>
      </c>
      <c r="F5" s="294">
        <f>SUM(F3:F4)</f>
        <v>0.20524769722968506</v>
      </c>
      <c r="G5" s="294">
        <f>F5+G6</f>
        <v>0.27524769722968506</v>
      </c>
      <c r="H5" s="294">
        <f>G5+H6</f>
        <v>0.30524769722968503</v>
      </c>
      <c r="I5" s="294">
        <f>H5+I6</f>
        <v>0.30524769722968503</v>
      </c>
      <c r="J5" s="294">
        <f>I5+J6</f>
        <v>0.30524769722968503</v>
      </c>
      <c r="K5" s="294">
        <f>J5+K6</f>
        <v>0.30524769722968503</v>
      </c>
      <c r="R5" t="s">
        <v>127</v>
      </c>
      <c r="S5" s="6">
        <v>7885816</v>
      </c>
      <c r="T5" s="6">
        <v>7944587</v>
      </c>
      <c r="U5" s="6">
        <v>1796995</v>
      </c>
      <c r="V5" s="6">
        <v>2199551</v>
      </c>
      <c r="W5" s="6">
        <f t="shared" si="1"/>
        <v>2932734.6666666665</v>
      </c>
    </row>
    <row r="6" spans="1:28" x14ac:dyDescent="0.2">
      <c r="A6" s="295" t="s">
        <v>128</v>
      </c>
      <c r="B6" s="296"/>
      <c r="C6" s="296"/>
      <c r="D6" s="296"/>
      <c r="E6" s="296"/>
      <c r="F6" s="295"/>
      <c r="G6" s="297">
        <v>7.0000000000000007E-2</v>
      </c>
      <c r="H6" s="297">
        <v>0.03</v>
      </c>
      <c r="I6" s="297">
        <v>0</v>
      </c>
      <c r="J6" s="297">
        <v>0</v>
      </c>
      <c r="K6" s="297">
        <v>0</v>
      </c>
      <c r="M6" s="298" t="s">
        <v>129</v>
      </c>
      <c r="N6" s="298" t="s">
        <v>130</v>
      </c>
      <c r="O6" s="298" t="s">
        <v>131</v>
      </c>
      <c r="R6" t="s">
        <v>132</v>
      </c>
      <c r="S6" s="6">
        <v>343866</v>
      </c>
      <c r="T6" s="6">
        <v>505179</v>
      </c>
      <c r="U6" s="6">
        <v>198983</v>
      </c>
      <c r="V6" s="6">
        <v>511668</v>
      </c>
      <c r="W6" s="6">
        <f t="shared" si="1"/>
        <v>682224</v>
      </c>
    </row>
    <row r="7" spans="1:28" x14ac:dyDescent="0.2">
      <c r="B7" s="299"/>
      <c r="C7" s="299"/>
      <c r="D7" s="299"/>
      <c r="E7" s="299"/>
      <c r="G7" s="291"/>
      <c r="H7" s="291"/>
      <c r="I7" s="291"/>
      <c r="J7" s="291"/>
      <c r="K7" s="291"/>
      <c r="R7" t="s">
        <v>129</v>
      </c>
      <c r="S7" s="6">
        <v>2091365</v>
      </c>
      <c r="T7" s="6">
        <v>2318077</v>
      </c>
      <c r="U7" s="6">
        <v>549363</v>
      </c>
      <c r="V7" s="6">
        <v>41236</v>
      </c>
      <c r="W7" s="6">
        <f t="shared" si="1"/>
        <v>54981.333333333336</v>
      </c>
    </row>
    <row r="8" spans="1:28" x14ac:dyDescent="0.2">
      <c r="A8" t="s">
        <v>133</v>
      </c>
      <c r="B8" s="291">
        <v>0.16627091651540019</v>
      </c>
      <c r="C8" s="291">
        <v>0.17050955865060111</v>
      </c>
      <c r="D8" s="291">
        <v>0.14956502680351552</v>
      </c>
      <c r="E8" s="291">
        <v>0.14894479612465553</v>
      </c>
      <c r="F8" s="291">
        <v>0.28272308733848489</v>
      </c>
      <c r="G8" s="291">
        <f>F8+G9</f>
        <v>0.25272308733848492</v>
      </c>
      <c r="H8" s="291">
        <f>G8+H9</f>
        <v>0.24272308733848491</v>
      </c>
      <c r="I8" s="291">
        <f>H8+I9</f>
        <v>0.25272308733848492</v>
      </c>
      <c r="J8" s="291">
        <f>I8+J9</f>
        <v>0.28272308733848495</v>
      </c>
      <c r="K8" s="291">
        <f>J8+K9</f>
        <v>0.29272308733848496</v>
      </c>
      <c r="M8" s="300" t="s">
        <v>127</v>
      </c>
      <c r="N8" s="300" t="s">
        <v>134</v>
      </c>
      <c r="O8" s="300" t="s">
        <v>135</v>
      </c>
      <c r="R8" t="s">
        <v>131</v>
      </c>
      <c r="S8" s="6">
        <v>2812605</v>
      </c>
      <c r="T8" s="6">
        <v>2745377</v>
      </c>
      <c r="U8" s="6">
        <v>853532</v>
      </c>
      <c r="V8" s="6">
        <v>2226748</v>
      </c>
      <c r="W8" s="6">
        <f t="shared" si="1"/>
        <v>2968997.3333333335</v>
      </c>
    </row>
    <row r="9" spans="1:28" x14ac:dyDescent="0.2">
      <c r="A9" s="295" t="s">
        <v>128</v>
      </c>
      <c r="B9" s="297"/>
      <c r="C9" s="297"/>
      <c r="D9" s="297"/>
      <c r="E9" s="297"/>
      <c r="F9" s="295"/>
      <c r="G9" s="297">
        <v>-0.03</v>
      </c>
      <c r="H9" s="297">
        <v>-0.01</v>
      </c>
      <c r="I9" s="297">
        <v>0.01</v>
      </c>
      <c r="J9" s="297">
        <v>0.03</v>
      </c>
      <c r="K9" s="297">
        <v>0.01</v>
      </c>
      <c r="R9" t="s">
        <v>136</v>
      </c>
      <c r="S9" s="6">
        <v>1355338</v>
      </c>
      <c r="T9" s="6">
        <v>1398277</v>
      </c>
      <c r="U9" s="6">
        <v>437856</v>
      </c>
      <c r="V9" s="6">
        <v>605322</v>
      </c>
      <c r="W9" s="6">
        <f t="shared" si="1"/>
        <v>807096</v>
      </c>
    </row>
    <row r="10" spans="1:28" x14ac:dyDescent="0.2">
      <c r="B10" s="291"/>
      <c r="C10" s="291"/>
      <c r="D10" s="291"/>
      <c r="E10" s="291"/>
      <c r="G10" s="291"/>
      <c r="H10" s="291"/>
      <c r="I10" s="291"/>
      <c r="J10" s="291"/>
      <c r="K10" s="291"/>
      <c r="R10" t="s">
        <v>137</v>
      </c>
      <c r="S10" s="6">
        <v>2373107</v>
      </c>
      <c r="T10" s="6">
        <v>2311423</v>
      </c>
      <c r="U10" s="6">
        <v>732204</v>
      </c>
      <c r="V10" s="6">
        <v>2309922</v>
      </c>
      <c r="W10" s="6">
        <f t="shared" si="1"/>
        <v>3079896</v>
      </c>
    </row>
    <row r="11" spans="1:28" x14ac:dyDescent="0.2">
      <c r="A11" s="300" t="s">
        <v>137</v>
      </c>
      <c r="B11" s="291">
        <v>3.8230489201251751E-2</v>
      </c>
      <c r="C11" s="291">
        <v>3.6601547365136024E-2</v>
      </c>
      <c r="D11" s="291">
        <v>4.3024534192330724E-2</v>
      </c>
      <c r="E11" s="291">
        <v>0.12499781517004147</v>
      </c>
      <c r="F11" s="291">
        <v>0.10086713549558274</v>
      </c>
      <c r="G11" s="291">
        <f>F11+G12</f>
        <v>9.0867135495582743E-2</v>
      </c>
      <c r="H11" s="291">
        <f>G11+H12</f>
        <v>8.5867135495582739E-2</v>
      </c>
      <c r="I11" s="291">
        <f>H11+I12</f>
        <v>8.5867135495582739E-2</v>
      </c>
      <c r="J11" s="291">
        <f>I11+J12</f>
        <v>8.5867135495582739E-2</v>
      </c>
      <c r="K11" s="291">
        <f>J11+K12</f>
        <v>8.5867135495582739E-2</v>
      </c>
      <c r="R11" t="s">
        <v>138</v>
      </c>
      <c r="S11" s="6">
        <v>241943</v>
      </c>
      <c r="T11" s="6">
        <v>572397</v>
      </c>
      <c r="U11" s="6">
        <v>260111</v>
      </c>
      <c r="V11" s="6">
        <v>203644</v>
      </c>
      <c r="W11" s="6">
        <f t="shared" si="1"/>
        <v>271525.33333333331</v>
      </c>
    </row>
    <row r="12" spans="1:28" s="301" customFormat="1" x14ac:dyDescent="0.2">
      <c r="A12" s="301" t="s">
        <v>128</v>
      </c>
      <c r="B12" s="302"/>
      <c r="C12" s="302"/>
      <c r="D12" s="302"/>
      <c r="E12" s="302"/>
      <c r="G12" s="302">
        <v>-0.01</v>
      </c>
      <c r="H12" s="302">
        <v>-5.0000000000000001E-3</v>
      </c>
      <c r="I12" s="302">
        <v>0</v>
      </c>
      <c r="J12" s="302">
        <v>0</v>
      </c>
      <c r="K12" s="302">
        <v>0</v>
      </c>
      <c r="L12"/>
      <c r="M12"/>
      <c r="N12"/>
      <c r="O12"/>
      <c r="R12" t="s">
        <v>139</v>
      </c>
      <c r="S12" s="6">
        <v>1031342</v>
      </c>
      <c r="T12" s="6">
        <v>1286078</v>
      </c>
      <c r="U12" s="6">
        <v>476257</v>
      </c>
      <c r="V12" s="6">
        <v>371324</v>
      </c>
      <c r="W12" s="6">
        <f t="shared" si="1"/>
        <v>495098.66666666669</v>
      </c>
    </row>
    <row r="13" spans="1:28" x14ac:dyDescent="0.2">
      <c r="B13" s="291"/>
      <c r="C13" s="291"/>
      <c r="D13" s="291"/>
      <c r="E13" s="291"/>
      <c r="G13" s="291"/>
      <c r="H13" s="291"/>
      <c r="I13" s="291"/>
      <c r="J13" s="291"/>
      <c r="K13" s="291"/>
      <c r="R13" s="303" t="s">
        <v>45</v>
      </c>
      <c r="S13" s="304">
        <v>24193825</v>
      </c>
      <c r="T13" s="304">
        <v>24590264</v>
      </c>
      <c r="U13" s="304">
        <v>6704010</v>
      </c>
      <c r="V13" s="304">
        <v>6217970</v>
      </c>
      <c r="W13" s="6">
        <f t="shared" si="1"/>
        <v>8290626.666666667</v>
      </c>
      <c r="X13" s="303"/>
      <c r="Y13" s="303"/>
      <c r="Z13" s="303"/>
      <c r="AA13" s="303"/>
      <c r="AB13" s="303"/>
    </row>
    <row r="14" spans="1:28" x14ac:dyDescent="0.2">
      <c r="A14" s="298" t="s">
        <v>138</v>
      </c>
      <c r="B14" s="290">
        <v>3.8976747566875206E-3</v>
      </c>
      <c r="C14" s="290">
        <v>9.063947147346792E-3</v>
      </c>
      <c r="D14" s="290">
        <v>1.5284203054478446E-2</v>
      </c>
      <c r="E14" s="290">
        <v>1.101987646010901E-2</v>
      </c>
      <c r="F14" s="290">
        <v>2.0714661143673568E-2</v>
      </c>
      <c r="G14" s="290">
        <f>$F$14</f>
        <v>2.0714661143673568E-2</v>
      </c>
      <c r="H14" s="290">
        <f>$F$14</f>
        <v>2.0714661143673568E-2</v>
      </c>
      <c r="I14" s="290">
        <f>$F$14</f>
        <v>2.0714661143673568E-2</v>
      </c>
      <c r="J14" s="290">
        <f>$F$14</f>
        <v>2.0714661143673568E-2</v>
      </c>
      <c r="K14" s="290">
        <f>$F$14</f>
        <v>2.0714661143673568E-2</v>
      </c>
      <c r="N14" t="s">
        <v>140</v>
      </c>
      <c r="O14">
        <v>219365.59370401199</v>
      </c>
      <c r="P14">
        <f>O14*10^4</f>
        <v>2193655937.0401201</v>
      </c>
      <c r="R14" t="s">
        <v>141</v>
      </c>
      <c r="S14" s="6">
        <v>62073676</v>
      </c>
      <c r="T14" s="6">
        <v>63150964</v>
      </c>
      <c r="U14" s="6">
        <v>17018290</v>
      </c>
      <c r="V14" s="6">
        <v>18479699</v>
      </c>
      <c r="W14" s="468">
        <f t="shared" si="1"/>
        <v>24639598.666666668</v>
      </c>
      <c r="X14" s="305">
        <f>T14*0.75</f>
        <v>47363223</v>
      </c>
      <c r="Y14" s="6">
        <f>T14</f>
        <v>63150964</v>
      </c>
      <c r="Z14" s="6">
        <f>Y14*(1+$Y$16)</f>
        <v>67800750.425779402</v>
      </c>
      <c r="AA14" s="6">
        <f>Z14*(1+$Y$16)</f>
        <v>72792899.223182485</v>
      </c>
      <c r="AB14" s="6">
        <f>$T$14*(1.027)^(AB2-$T$2)</f>
        <v>78152618.430336326</v>
      </c>
    </row>
    <row r="15" spans="1:28" x14ac:dyDescent="0.2">
      <c r="A15" t="s">
        <v>139</v>
      </c>
      <c r="B15" s="290">
        <v>1.6614804639570564E-2</v>
      </c>
      <c r="C15" s="290">
        <v>2.0365136468858971E-2</v>
      </c>
      <c r="D15" s="290">
        <v>2.7985009069653885E-2</v>
      </c>
      <c r="E15" s="290">
        <v>2.0093617325693452E-2</v>
      </c>
      <c r="F15" s="290">
        <v>3.4865123677847477E-2</v>
      </c>
      <c r="G15" s="290">
        <f>$F$15</f>
        <v>3.4865123677847477E-2</v>
      </c>
      <c r="H15" s="290">
        <f>$F$15</f>
        <v>3.4865123677847477E-2</v>
      </c>
      <c r="I15" s="290">
        <f>$F$15</f>
        <v>3.4865123677847477E-2</v>
      </c>
      <c r="J15" s="290">
        <f>$F$15</f>
        <v>3.4865123677847477E-2</v>
      </c>
      <c r="K15" s="290">
        <f>$F$15</f>
        <v>3.4865123677847477E-2</v>
      </c>
      <c r="O15" s="468">
        <f>W19</f>
        <v>4623378.3809846593</v>
      </c>
      <c r="P15" s="6">
        <f>O15</f>
        <v>4623378.3809846593</v>
      </c>
      <c r="R15" t="s">
        <v>128</v>
      </c>
      <c r="W15" s="55">
        <f>W14/V14-1</f>
        <v>0.33333333333333348</v>
      </c>
      <c r="X15" s="55">
        <f t="shared" ref="X15:AB15" si="2">X14/W14-1</f>
        <v>0.92224003486203965</v>
      </c>
      <c r="Y15" s="55">
        <f t="shared" si="2"/>
        <v>0.33333333333333326</v>
      </c>
      <c r="Z15" s="290">
        <f t="shared" si="2"/>
        <v>7.3629698285831324E-2</v>
      </c>
      <c r="AA15" s="290">
        <f t="shared" si="2"/>
        <v>7.3629698285831324E-2</v>
      </c>
      <c r="AB15" s="290">
        <f t="shared" si="2"/>
        <v>7.3629698285831102E-2</v>
      </c>
    </row>
    <row r="16" spans="1:28" x14ac:dyDescent="0.2">
      <c r="B16" s="290"/>
      <c r="C16" s="290"/>
      <c r="D16" s="290"/>
      <c r="E16" s="290"/>
      <c r="G16" s="291"/>
      <c r="H16" s="291"/>
      <c r="I16" s="291"/>
      <c r="J16" s="291"/>
      <c r="K16" s="291"/>
      <c r="W16" s="331">
        <v>1</v>
      </c>
      <c r="Y16">
        <f>(AB14/Y14)^(1/3)-1</f>
        <v>7.3629698285831324E-2</v>
      </c>
    </row>
    <row r="17" spans="1:28" x14ac:dyDescent="0.2">
      <c r="A17" s="298" t="s">
        <v>131</v>
      </c>
      <c r="B17" s="290">
        <v>4.5310752983277483E-2</v>
      </c>
      <c r="C17" s="290">
        <v>4.3473239775088789E-2</v>
      </c>
      <c r="D17" s="290">
        <v>5.0153805112029472E-2</v>
      </c>
      <c r="E17" s="290">
        <v>0.12049698428529598</v>
      </c>
      <c r="F17" s="290">
        <v>7.2666223502303451E-2</v>
      </c>
      <c r="G17" s="291">
        <f>F17+G18</f>
        <v>6.2666223502303456E-2</v>
      </c>
      <c r="H17" s="291">
        <f>G17+H18</f>
        <v>5.7666223502303458E-2</v>
      </c>
      <c r="I17" s="291">
        <f>H17+I18</f>
        <v>5.2666223502303461E-2</v>
      </c>
      <c r="J17" s="291">
        <f>I17+J18</f>
        <v>5.2666223502303461E-2</v>
      </c>
      <c r="K17" s="291">
        <f>J17+K18</f>
        <v>5.5166223502303463E-2</v>
      </c>
      <c r="P17">
        <f>P14/P15</f>
        <v>474.47034533499038</v>
      </c>
      <c r="S17" s="290"/>
      <c r="T17" s="290"/>
      <c r="U17" s="290"/>
      <c r="V17" s="467"/>
      <c r="W17" s="829">
        <v>0.18863485987710932</v>
      </c>
      <c r="X17" s="467"/>
      <c r="Y17" s="467"/>
      <c r="Z17" s="467"/>
      <c r="AA17" s="467"/>
      <c r="AB17" s="467"/>
    </row>
    <row r="18" spans="1:28" s="308" customFormat="1" x14ac:dyDescent="0.2">
      <c r="A18" s="295" t="s">
        <v>128</v>
      </c>
      <c r="B18" s="306"/>
      <c r="C18" s="306"/>
      <c r="D18" s="306"/>
      <c r="E18" s="306"/>
      <c r="F18" s="295"/>
      <c r="G18" s="297">
        <v>-0.01</v>
      </c>
      <c r="H18" s="297">
        <v>-5.0000000000000001E-3</v>
      </c>
      <c r="I18" s="297">
        <v>-5.0000000000000001E-3</v>
      </c>
      <c r="J18" s="307">
        <v>0</v>
      </c>
      <c r="K18" s="307">
        <v>2.5000000000000001E-3</v>
      </c>
      <c r="L18"/>
      <c r="M18"/>
      <c r="N18"/>
      <c r="O18"/>
      <c r="P18" s="830"/>
      <c r="Q18" s="830"/>
      <c r="R18" s="830" t="s">
        <v>44</v>
      </c>
      <c r="S18" s="831">
        <v>0.29948472843786472</v>
      </c>
      <c r="T18" s="831">
        <v>0.29264907183364613</v>
      </c>
      <c r="U18" s="831">
        <v>0.27591978982612236</v>
      </c>
      <c r="V18" s="829">
        <v>0.18004990232795459</v>
      </c>
      <c r="W18" s="829">
        <f t="shared" ref="W18:AB18" si="3">F3</f>
        <v>0.18764016587816146</v>
      </c>
      <c r="X18" s="829">
        <f t="shared" si="3"/>
        <v>0.25163509390296956</v>
      </c>
      <c r="Y18" s="829">
        <f t="shared" si="3"/>
        <v>0.27906149162788735</v>
      </c>
      <c r="Z18" s="829">
        <f t="shared" si="3"/>
        <v>0.27906149162788735</v>
      </c>
      <c r="AA18" s="829">
        <f t="shared" si="3"/>
        <v>0.27906149162788735</v>
      </c>
      <c r="AB18" s="829">
        <f t="shared" si="3"/>
        <v>0.27906149162788735</v>
      </c>
    </row>
    <row r="19" spans="1:28" x14ac:dyDescent="0.2">
      <c r="B19" s="290"/>
      <c r="C19" s="290"/>
      <c r="D19" s="290"/>
      <c r="E19" s="290"/>
      <c r="G19" s="291"/>
      <c r="H19" s="291"/>
      <c r="I19" s="291"/>
      <c r="J19" s="291"/>
      <c r="K19" s="291"/>
      <c r="R19" t="s">
        <v>142</v>
      </c>
      <c r="S19" s="6">
        <f>S14*S18</f>
        <v>18590118</v>
      </c>
      <c r="T19" s="6">
        <f t="shared" ref="T19:AB19" si="4">T14*T18</f>
        <v>18481071</v>
      </c>
      <c r="U19" s="6">
        <f t="shared" si="4"/>
        <v>4695683</v>
      </c>
      <c r="V19" s="6">
        <f t="shared" si="4"/>
        <v>3327268</v>
      </c>
      <c r="W19" s="6">
        <f>W14*W18</f>
        <v>4623378.3809846593</v>
      </c>
      <c r="X19" s="6">
        <f t="shared" si="4"/>
        <v>11918249.067152288</v>
      </c>
      <c r="Y19" s="6">
        <f t="shared" si="4"/>
        <v>17623002.211579014</v>
      </c>
      <c r="Z19" s="6">
        <f t="shared" si="4"/>
        <v>18920578.547308117</v>
      </c>
      <c r="AA19" s="6">
        <f t="shared" si="4"/>
        <v>20313695.037139785</v>
      </c>
      <c r="AB19" s="6">
        <f t="shared" si="4"/>
        <v>21809386.273794774</v>
      </c>
    </row>
    <row r="20" spans="1:28" x14ac:dyDescent="0.2">
      <c r="A20" s="300" t="s">
        <v>136</v>
      </c>
      <c r="B20" s="290">
        <v>2.1834344078478615E-2</v>
      </c>
      <c r="C20" s="290">
        <v>2.2141815602371485E-2</v>
      </c>
      <c r="D20" s="290">
        <v>2.572855439647579E-2</v>
      </c>
      <c r="E20" s="290">
        <v>3.2756053007140427E-2</v>
      </c>
      <c r="F20" s="290">
        <v>1.5392780763333424E-2</v>
      </c>
      <c r="G20" s="290">
        <f>F20+G21</f>
        <v>1.2892780763333424E-2</v>
      </c>
      <c r="H20" s="290">
        <f>G20+H21</f>
        <v>1.2892780763333424E-2</v>
      </c>
      <c r="I20" s="290">
        <f>H20+I21</f>
        <v>1.2892780763333424E-2</v>
      </c>
      <c r="J20" s="290">
        <f>I20+J21</f>
        <v>1.0392780763333423E-2</v>
      </c>
      <c r="K20" s="290">
        <f>J20+K21</f>
        <v>1.2892780763333424E-2</v>
      </c>
    </row>
    <row r="21" spans="1:28" x14ac:dyDescent="0.2">
      <c r="A21" s="295" t="s">
        <v>128</v>
      </c>
      <c r="B21" s="306"/>
      <c r="C21" s="306"/>
      <c r="D21" s="306"/>
      <c r="E21" s="306"/>
      <c r="F21" s="306"/>
      <c r="G21" s="309">
        <v>-2.5000000000000001E-3</v>
      </c>
      <c r="H21" s="306">
        <v>0</v>
      </c>
      <c r="I21" s="306">
        <v>0</v>
      </c>
      <c r="J21" s="309">
        <v>-2.5000000000000001E-3</v>
      </c>
      <c r="K21" s="309">
        <v>2.5000000000000001E-3</v>
      </c>
    </row>
    <row r="22" spans="1:28" x14ac:dyDescent="0.2">
      <c r="B22" s="290"/>
      <c r="C22" s="290"/>
      <c r="D22" s="290"/>
      <c r="E22" s="290"/>
      <c r="F22" s="290"/>
      <c r="G22" s="290"/>
      <c r="H22" s="290"/>
      <c r="I22" s="290"/>
      <c r="J22" s="290"/>
      <c r="K22" s="290"/>
    </row>
    <row r="23" spans="1:28" x14ac:dyDescent="0.2">
      <c r="A23" t="s">
        <v>45</v>
      </c>
      <c r="B23" s="290">
        <v>0.38975982347170807</v>
      </c>
      <c r="C23" s="290">
        <v>0.3893885768711306</v>
      </c>
      <c r="D23" s="290">
        <v>0.39392970739128313</v>
      </c>
      <c r="E23" s="290">
        <v>0.33647571857095726</v>
      </c>
      <c r="F23" s="290">
        <v>0.26752329084908943</v>
      </c>
      <c r="G23" s="291">
        <f>F23+G24</f>
        <v>0.25002329084908942</v>
      </c>
      <c r="H23" s="291">
        <f>G23+H24</f>
        <v>0.24002329084908941</v>
      </c>
      <c r="I23" s="291">
        <f>H23+I24</f>
        <v>0.23502329084908941</v>
      </c>
      <c r="J23" s="291">
        <f>I23+J24</f>
        <v>0.20752329084908941</v>
      </c>
      <c r="K23" s="291">
        <f>J23+K24</f>
        <v>0.19252329084908942</v>
      </c>
    </row>
    <row r="24" spans="1:28" x14ac:dyDescent="0.2">
      <c r="A24" s="295"/>
      <c r="B24" s="306"/>
      <c r="C24" s="306"/>
      <c r="D24" s="306"/>
      <c r="E24" s="306"/>
      <c r="F24" s="295"/>
      <c r="G24" s="307">
        <f>-SUM(G21,G18,G12,G9,G6)</f>
        <v>-1.7500000000000009E-2</v>
      </c>
      <c r="H24" s="307">
        <f>-SUM(H21,H18,H12,H9,H6)</f>
        <v>-9.9999999999999985E-3</v>
      </c>
      <c r="I24" s="307">
        <f>-SUM(I21,I18,I12,I9,I6)</f>
        <v>-5.0000000000000001E-3</v>
      </c>
      <c r="J24" s="307">
        <f>-SUM(J21,J18,J12,J9,J6)</f>
        <v>-2.75E-2</v>
      </c>
      <c r="K24" s="307">
        <f>-SUM(K21,K18,K12,K9,K6)</f>
        <v>-1.4999999999999999E-2</v>
      </c>
    </row>
    <row r="25" spans="1:28" x14ac:dyDescent="0.2">
      <c r="B25" s="290"/>
      <c r="C25" s="290"/>
      <c r="D25" s="290"/>
      <c r="E25" s="290"/>
      <c r="G25" s="291"/>
      <c r="H25" s="291"/>
      <c r="I25" s="291"/>
      <c r="J25" s="291"/>
      <c r="K25" s="291"/>
    </row>
    <row r="26" spans="1:28" x14ac:dyDescent="0.2">
      <c r="A26" t="s">
        <v>141</v>
      </c>
      <c r="B26" s="290">
        <f t="shared" ref="B26:K26" si="5">SUM(B5,B8,B11,B14,B15,B17,B20,B23)</f>
        <v>1.0000000000000002</v>
      </c>
      <c r="C26" s="290">
        <f t="shared" si="5"/>
        <v>1</v>
      </c>
      <c r="D26" s="290">
        <f t="shared" si="5"/>
        <v>1</v>
      </c>
      <c r="E26" s="290">
        <f t="shared" si="5"/>
        <v>1</v>
      </c>
      <c r="F26" s="290">
        <f t="shared" si="5"/>
        <v>1</v>
      </c>
      <c r="G26" s="290">
        <f t="shared" si="5"/>
        <v>1.0000000000000002</v>
      </c>
      <c r="H26" s="290">
        <f t="shared" si="5"/>
        <v>1</v>
      </c>
      <c r="I26" s="290">
        <f t="shared" si="5"/>
        <v>1</v>
      </c>
      <c r="J26" s="290">
        <f t="shared" si="5"/>
        <v>1</v>
      </c>
      <c r="K26" s="290">
        <f t="shared" si="5"/>
        <v>1.0000000000000002</v>
      </c>
    </row>
    <row r="28" spans="1:28" x14ac:dyDescent="0.2">
      <c r="G28" s="291"/>
    </row>
    <row r="29" spans="1:28" x14ac:dyDescent="0.2">
      <c r="A29" t="s">
        <v>143</v>
      </c>
      <c r="C29" s="800">
        <f t="shared" ref="C29:K29" si="6">AVERAGE(C8,C11,C14:C15,C17,C20)</f>
        <v>5.0359207501567194E-2</v>
      </c>
      <c r="D29" s="800">
        <f t="shared" si="6"/>
        <v>5.1956855438080644E-2</v>
      </c>
      <c r="E29" s="800">
        <f t="shared" si="6"/>
        <v>7.6384857062155961E-2</v>
      </c>
      <c r="F29" s="800">
        <f t="shared" si="6"/>
        <v>8.7871501986870923E-2</v>
      </c>
      <c r="G29" s="800">
        <f t="shared" si="6"/>
        <v>7.9121501986870929E-2</v>
      </c>
      <c r="H29" s="800">
        <f t="shared" si="6"/>
        <v>7.5788168653537588E-2</v>
      </c>
      <c r="I29" s="800">
        <f t="shared" si="6"/>
        <v>7.6621501986870941E-2</v>
      </c>
      <c r="J29" s="800">
        <f t="shared" si="6"/>
        <v>8.1204835320204269E-2</v>
      </c>
      <c r="K29" s="800">
        <f t="shared" si="6"/>
        <v>8.3704835320204271E-2</v>
      </c>
    </row>
  </sheetData>
  <mergeCells count="5">
    <mergeCell ref="A1:K1"/>
    <mergeCell ref="S1:V1"/>
    <mergeCell ref="M2:O2"/>
    <mergeCell ref="M3:N3"/>
    <mergeCell ref="M4:N4"/>
  </mergeCells>
  <pageMargins left="0.7" right="0.7" top="0.75" bottom="0.75" header="0.3" footer="0.3"/>
  <pageSetup paperSize="9" orientation="portrait" r:id="rId1"/>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DAA9F-B72D-3942-A6CB-12322A298044}">
  <sheetPr>
    <tabColor theme="1" tint="0.499984740745262"/>
  </sheetPr>
  <dimension ref="A1:E409"/>
  <sheetViews>
    <sheetView workbookViewId="0"/>
  </sheetViews>
  <sheetFormatPr baseColWidth="10" defaultColWidth="9.1640625" defaultRowHeight="13" x14ac:dyDescent="0.15"/>
  <cols>
    <col min="1" max="1" width="15.1640625" style="7" customWidth="1"/>
    <col min="2" max="2" width="19" style="7" customWidth="1"/>
    <col min="3" max="3" width="9.1640625" style="7"/>
    <col min="4" max="4" width="8.83203125" style="7" customWidth="1"/>
    <col min="5" max="256" width="9.1640625" style="7"/>
    <col min="257" max="257" width="15.1640625" style="7" customWidth="1"/>
    <col min="258" max="258" width="19" style="7" customWidth="1"/>
    <col min="259" max="512" width="9.1640625" style="7"/>
    <col min="513" max="513" width="15.1640625" style="7" customWidth="1"/>
    <col min="514" max="514" width="19" style="7" customWidth="1"/>
    <col min="515" max="768" width="9.1640625" style="7"/>
    <col min="769" max="769" width="15.1640625" style="7" customWidth="1"/>
    <col min="770" max="770" width="19" style="7" customWidth="1"/>
    <col min="771" max="1024" width="9.1640625" style="7"/>
    <col min="1025" max="1025" width="15.1640625" style="7" customWidth="1"/>
    <col min="1026" max="1026" width="19" style="7" customWidth="1"/>
    <col min="1027" max="1280" width="9.1640625" style="7"/>
    <col min="1281" max="1281" width="15.1640625" style="7" customWidth="1"/>
    <col min="1282" max="1282" width="19" style="7" customWidth="1"/>
    <col min="1283" max="1536" width="9.1640625" style="7"/>
    <col min="1537" max="1537" width="15.1640625" style="7" customWidth="1"/>
    <col min="1538" max="1538" width="19" style="7" customWidth="1"/>
    <col min="1539" max="1792" width="9.1640625" style="7"/>
    <col min="1793" max="1793" width="15.1640625" style="7" customWidth="1"/>
    <col min="1794" max="1794" width="19" style="7" customWidth="1"/>
    <col min="1795" max="2048" width="9.1640625" style="7"/>
    <col min="2049" max="2049" width="15.1640625" style="7" customWidth="1"/>
    <col min="2050" max="2050" width="19" style="7" customWidth="1"/>
    <col min="2051" max="2304" width="9.1640625" style="7"/>
    <col min="2305" max="2305" width="15.1640625" style="7" customWidth="1"/>
    <col min="2306" max="2306" width="19" style="7" customWidth="1"/>
    <col min="2307" max="2560" width="9.1640625" style="7"/>
    <col min="2561" max="2561" width="15.1640625" style="7" customWidth="1"/>
    <col min="2562" max="2562" width="19" style="7" customWidth="1"/>
    <col min="2563" max="2816" width="9.1640625" style="7"/>
    <col min="2817" max="2817" width="15.1640625" style="7" customWidth="1"/>
    <col min="2818" max="2818" width="19" style="7" customWidth="1"/>
    <col min="2819" max="3072" width="9.1640625" style="7"/>
    <col min="3073" max="3073" width="15.1640625" style="7" customWidth="1"/>
    <col min="3074" max="3074" width="19" style="7" customWidth="1"/>
    <col min="3075" max="3328" width="9.1640625" style="7"/>
    <col min="3329" max="3329" width="15.1640625" style="7" customWidth="1"/>
    <col min="3330" max="3330" width="19" style="7" customWidth="1"/>
    <col min="3331" max="3584" width="9.1640625" style="7"/>
    <col min="3585" max="3585" width="15.1640625" style="7" customWidth="1"/>
    <col min="3586" max="3586" width="19" style="7" customWidth="1"/>
    <col min="3587" max="3840" width="9.1640625" style="7"/>
    <col min="3841" max="3841" width="15.1640625" style="7" customWidth="1"/>
    <col min="3842" max="3842" width="19" style="7" customWidth="1"/>
    <col min="3843" max="4096" width="9.1640625" style="7"/>
    <col min="4097" max="4097" width="15.1640625" style="7" customWidth="1"/>
    <col min="4098" max="4098" width="19" style="7" customWidth="1"/>
    <col min="4099" max="4352" width="9.1640625" style="7"/>
    <col min="4353" max="4353" width="15.1640625" style="7" customWidth="1"/>
    <col min="4354" max="4354" width="19" style="7" customWidth="1"/>
    <col min="4355" max="4608" width="9.1640625" style="7"/>
    <col min="4609" max="4609" width="15.1640625" style="7" customWidth="1"/>
    <col min="4610" max="4610" width="19" style="7" customWidth="1"/>
    <col min="4611" max="4864" width="9.1640625" style="7"/>
    <col min="4865" max="4865" width="15.1640625" style="7" customWidth="1"/>
    <col min="4866" max="4866" width="19" style="7" customWidth="1"/>
    <col min="4867" max="5120" width="9.1640625" style="7"/>
    <col min="5121" max="5121" width="15.1640625" style="7" customWidth="1"/>
    <col min="5122" max="5122" width="19" style="7" customWidth="1"/>
    <col min="5123" max="5376" width="9.1640625" style="7"/>
    <col min="5377" max="5377" width="15.1640625" style="7" customWidth="1"/>
    <col min="5378" max="5378" width="19" style="7" customWidth="1"/>
    <col min="5379" max="5632" width="9.1640625" style="7"/>
    <col min="5633" max="5633" width="15.1640625" style="7" customWidth="1"/>
    <col min="5634" max="5634" width="19" style="7" customWidth="1"/>
    <col min="5635" max="5888" width="9.1640625" style="7"/>
    <col min="5889" max="5889" width="15.1640625" style="7" customWidth="1"/>
    <col min="5890" max="5890" width="19" style="7" customWidth="1"/>
    <col min="5891" max="6144" width="9.1640625" style="7"/>
    <col min="6145" max="6145" width="15.1640625" style="7" customWidth="1"/>
    <col min="6146" max="6146" width="19" style="7" customWidth="1"/>
    <col min="6147" max="6400" width="9.1640625" style="7"/>
    <col min="6401" max="6401" width="15.1640625" style="7" customWidth="1"/>
    <col min="6402" max="6402" width="19" style="7" customWidth="1"/>
    <col min="6403" max="6656" width="9.1640625" style="7"/>
    <col min="6657" max="6657" width="15.1640625" style="7" customWidth="1"/>
    <col min="6658" max="6658" width="19" style="7" customWidth="1"/>
    <col min="6659" max="6912" width="9.1640625" style="7"/>
    <col min="6913" max="6913" width="15.1640625" style="7" customWidth="1"/>
    <col min="6914" max="6914" width="19" style="7" customWidth="1"/>
    <col min="6915" max="7168" width="9.1640625" style="7"/>
    <col min="7169" max="7169" width="15.1640625" style="7" customWidth="1"/>
    <col min="7170" max="7170" width="19" style="7" customWidth="1"/>
    <col min="7171" max="7424" width="9.1640625" style="7"/>
    <col min="7425" max="7425" width="15.1640625" style="7" customWidth="1"/>
    <col min="7426" max="7426" width="19" style="7" customWidth="1"/>
    <col min="7427" max="7680" width="9.1640625" style="7"/>
    <col min="7681" max="7681" width="15.1640625" style="7" customWidth="1"/>
    <col min="7682" max="7682" width="19" style="7" customWidth="1"/>
    <col min="7683" max="7936" width="9.1640625" style="7"/>
    <col min="7937" max="7937" width="15.1640625" style="7" customWidth="1"/>
    <col min="7938" max="7938" width="19" style="7" customWidth="1"/>
    <col min="7939" max="8192" width="9.1640625" style="7"/>
    <col min="8193" max="8193" width="15.1640625" style="7" customWidth="1"/>
    <col min="8194" max="8194" width="19" style="7" customWidth="1"/>
    <col min="8195" max="8448" width="9.1640625" style="7"/>
    <col min="8449" max="8449" width="15.1640625" style="7" customWidth="1"/>
    <col min="8450" max="8450" width="19" style="7" customWidth="1"/>
    <col min="8451" max="8704" width="9.1640625" style="7"/>
    <col min="8705" max="8705" width="15.1640625" style="7" customWidth="1"/>
    <col min="8706" max="8706" width="19" style="7" customWidth="1"/>
    <col min="8707" max="8960" width="9.1640625" style="7"/>
    <col min="8961" max="8961" width="15.1640625" style="7" customWidth="1"/>
    <col min="8962" max="8962" width="19" style="7" customWidth="1"/>
    <col min="8963" max="9216" width="9.1640625" style="7"/>
    <col min="9217" max="9217" width="15.1640625" style="7" customWidth="1"/>
    <col min="9218" max="9218" width="19" style="7" customWidth="1"/>
    <col min="9219" max="9472" width="9.1640625" style="7"/>
    <col min="9473" max="9473" width="15.1640625" style="7" customWidth="1"/>
    <col min="9474" max="9474" width="19" style="7" customWidth="1"/>
    <col min="9475" max="9728" width="9.1640625" style="7"/>
    <col min="9729" max="9729" width="15.1640625" style="7" customWidth="1"/>
    <col min="9730" max="9730" width="19" style="7" customWidth="1"/>
    <col min="9731" max="9984" width="9.1640625" style="7"/>
    <col min="9985" max="9985" width="15.1640625" style="7" customWidth="1"/>
    <col min="9986" max="9986" width="19" style="7" customWidth="1"/>
    <col min="9987" max="10240" width="9.1640625" style="7"/>
    <col min="10241" max="10241" width="15.1640625" style="7" customWidth="1"/>
    <col min="10242" max="10242" width="19" style="7" customWidth="1"/>
    <col min="10243" max="10496" width="9.1640625" style="7"/>
    <col min="10497" max="10497" width="15.1640625" style="7" customWidth="1"/>
    <col min="10498" max="10498" width="19" style="7" customWidth="1"/>
    <col min="10499" max="10752" width="9.1640625" style="7"/>
    <col min="10753" max="10753" width="15.1640625" style="7" customWidth="1"/>
    <col min="10754" max="10754" width="19" style="7" customWidth="1"/>
    <col min="10755" max="11008" width="9.1640625" style="7"/>
    <col min="11009" max="11009" width="15.1640625" style="7" customWidth="1"/>
    <col min="11010" max="11010" width="19" style="7" customWidth="1"/>
    <col min="11011" max="11264" width="9.1640625" style="7"/>
    <col min="11265" max="11265" width="15.1640625" style="7" customWidth="1"/>
    <col min="11266" max="11266" width="19" style="7" customWidth="1"/>
    <col min="11267" max="11520" width="9.1640625" style="7"/>
    <col min="11521" max="11521" width="15.1640625" style="7" customWidth="1"/>
    <col min="11522" max="11522" width="19" style="7" customWidth="1"/>
    <col min="11523" max="11776" width="9.1640625" style="7"/>
    <col min="11777" max="11777" width="15.1640625" style="7" customWidth="1"/>
    <col min="11778" max="11778" width="19" style="7" customWidth="1"/>
    <col min="11779" max="12032" width="9.1640625" style="7"/>
    <col min="12033" max="12033" width="15.1640625" style="7" customWidth="1"/>
    <col min="12034" max="12034" width="19" style="7" customWidth="1"/>
    <col min="12035" max="12288" width="9.1640625" style="7"/>
    <col min="12289" max="12289" width="15.1640625" style="7" customWidth="1"/>
    <col min="12290" max="12290" width="19" style="7" customWidth="1"/>
    <col min="12291" max="12544" width="9.1640625" style="7"/>
    <col min="12545" max="12545" width="15.1640625" style="7" customWidth="1"/>
    <col min="12546" max="12546" width="19" style="7" customWidth="1"/>
    <col min="12547" max="12800" width="9.1640625" style="7"/>
    <col min="12801" max="12801" width="15.1640625" style="7" customWidth="1"/>
    <col min="12802" max="12802" width="19" style="7" customWidth="1"/>
    <col min="12803" max="13056" width="9.1640625" style="7"/>
    <col min="13057" max="13057" width="15.1640625" style="7" customWidth="1"/>
    <col min="13058" max="13058" width="19" style="7" customWidth="1"/>
    <col min="13059" max="13312" width="9.1640625" style="7"/>
    <col min="13313" max="13313" width="15.1640625" style="7" customWidth="1"/>
    <col min="13314" max="13314" width="19" style="7" customWidth="1"/>
    <col min="13315" max="13568" width="9.1640625" style="7"/>
    <col min="13569" max="13569" width="15.1640625" style="7" customWidth="1"/>
    <col min="13570" max="13570" width="19" style="7" customWidth="1"/>
    <col min="13571" max="13824" width="9.1640625" style="7"/>
    <col min="13825" max="13825" width="15.1640625" style="7" customWidth="1"/>
    <col min="13826" max="13826" width="19" style="7" customWidth="1"/>
    <col min="13827" max="14080" width="9.1640625" style="7"/>
    <col min="14081" max="14081" width="15.1640625" style="7" customWidth="1"/>
    <col min="14082" max="14082" width="19" style="7" customWidth="1"/>
    <col min="14083" max="14336" width="9.1640625" style="7"/>
    <col min="14337" max="14337" width="15.1640625" style="7" customWidth="1"/>
    <col min="14338" max="14338" width="19" style="7" customWidth="1"/>
    <col min="14339" max="14592" width="9.1640625" style="7"/>
    <col min="14593" max="14593" width="15.1640625" style="7" customWidth="1"/>
    <col min="14594" max="14594" width="19" style="7" customWidth="1"/>
    <col min="14595" max="14848" width="9.1640625" style="7"/>
    <col min="14849" max="14849" width="15.1640625" style="7" customWidth="1"/>
    <col min="14850" max="14850" width="19" style="7" customWidth="1"/>
    <col min="14851" max="15104" width="9.1640625" style="7"/>
    <col min="15105" max="15105" width="15.1640625" style="7" customWidth="1"/>
    <col min="15106" max="15106" width="19" style="7" customWidth="1"/>
    <col min="15107" max="15360" width="9.1640625" style="7"/>
    <col min="15361" max="15361" width="15.1640625" style="7" customWidth="1"/>
    <col min="15362" max="15362" width="19" style="7" customWidth="1"/>
    <col min="15363" max="15616" width="9.1640625" style="7"/>
    <col min="15617" max="15617" width="15.1640625" style="7" customWidth="1"/>
    <col min="15618" max="15618" width="19" style="7" customWidth="1"/>
    <col min="15619" max="15872" width="9.1640625" style="7"/>
    <col min="15873" max="15873" width="15.1640625" style="7" customWidth="1"/>
    <col min="15874" max="15874" width="19" style="7" customWidth="1"/>
    <col min="15875" max="16128" width="9.1640625" style="7"/>
    <col min="16129" max="16129" width="15.1640625" style="7" customWidth="1"/>
    <col min="16130" max="16130" width="19" style="7" customWidth="1"/>
    <col min="16131" max="16384" width="9.1640625" style="7"/>
  </cols>
  <sheetData>
    <row r="1" spans="1:5" ht="18" x14ac:dyDescent="0.2">
      <c r="A1" s="16" t="s">
        <v>798</v>
      </c>
    </row>
    <row r="2" spans="1:5" ht="16" x14ac:dyDescent="0.2">
      <c r="A2" s="17" t="s">
        <v>799</v>
      </c>
    </row>
    <row r="3" spans="1:5" x14ac:dyDescent="0.15">
      <c r="A3" s="18"/>
    </row>
    <row r="4" spans="1:5" x14ac:dyDescent="0.15">
      <c r="A4" s="19" t="s">
        <v>800</v>
      </c>
    </row>
    <row r="5" spans="1:5" x14ac:dyDescent="0.15">
      <c r="A5" s="20" t="s">
        <v>801</v>
      </c>
      <c r="B5" s="21" t="s">
        <v>148</v>
      </c>
      <c r="C5" s="22" t="s">
        <v>802</v>
      </c>
      <c r="D5" s="21" t="s">
        <v>803</v>
      </c>
      <c r="E5" s="21" t="s">
        <v>804</v>
      </c>
    </row>
    <row r="6" spans="1:5" x14ac:dyDescent="0.15">
      <c r="A6" s="23" t="s">
        <v>805</v>
      </c>
      <c r="B6" s="24" t="s">
        <v>799</v>
      </c>
      <c r="C6" s="25">
        <v>1</v>
      </c>
      <c r="D6" s="24" t="s">
        <v>806</v>
      </c>
      <c r="E6" s="24" t="s">
        <v>807</v>
      </c>
    </row>
    <row r="8" spans="1:5" x14ac:dyDescent="0.15">
      <c r="A8" s="7" t="s">
        <v>808</v>
      </c>
      <c r="B8" s="7" t="s">
        <v>809</v>
      </c>
    </row>
    <row r="9" spans="1:5" x14ac:dyDescent="0.15">
      <c r="A9" s="7" t="s">
        <v>810</v>
      </c>
      <c r="B9" s="7" t="s">
        <v>811</v>
      </c>
    </row>
    <row r="10" spans="1:5" x14ac:dyDescent="0.15">
      <c r="A10" s="7" t="s">
        <v>812</v>
      </c>
      <c r="B10" s="26" t="s">
        <v>813</v>
      </c>
    </row>
    <row r="11" spans="1:5" x14ac:dyDescent="0.15">
      <c r="A11" s="7" t="s">
        <v>814</v>
      </c>
      <c r="B11" s="27" t="s">
        <v>815</v>
      </c>
    </row>
    <row r="12" spans="1:5" x14ac:dyDescent="0.15">
      <c r="A12" s="28" t="s">
        <v>816</v>
      </c>
    </row>
    <row r="13" spans="1:5" x14ac:dyDescent="0.15">
      <c r="A13" s="7" t="s">
        <v>817</v>
      </c>
      <c r="B13" s="27" t="s">
        <v>818</v>
      </c>
    </row>
    <row r="14" spans="1:5" x14ac:dyDescent="0.15">
      <c r="B14" s="7" t="s">
        <v>819</v>
      </c>
      <c r="E14" s="29" t="s">
        <v>820</v>
      </c>
    </row>
    <row r="16" spans="1:5" ht="16" x14ac:dyDescent="0.2">
      <c r="A16" s="12" t="s">
        <v>821</v>
      </c>
    </row>
    <row r="17" spans="1:4" ht="26" x14ac:dyDescent="0.15">
      <c r="A17" s="13" t="s">
        <v>822</v>
      </c>
      <c r="B17" s="13" t="s">
        <v>823</v>
      </c>
    </row>
    <row r="18" spans="1:4" ht="56" x14ac:dyDescent="0.15">
      <c r="A18" s="14" t="s">
        <v>824</v>
      </c>
      <c r="B18" s="14" t="s">
        <v>799</v>
      </c>
      <c r="C18" s="14" t="s">
        <v>824</v>
      </c>
      <c r="D18" s="14" t="s">
        <v>825</v>
      </c>
    </row>
    <row r="19" spans="1:4" x14ac:dyDescent="0.15">
      <c r="A19" s="15">
        <v>32978</v>
      </c>
      <c r="B19" s="7">
        <v>0.54</v>
      </c>
      <c r="C19" s="43" t="s">
        <v>826</v>
      </c>
      <c r="D19" s="44">
        <f>C135</f>
        <v>0.65233333333333332</v>
      </c>
    </row>
    <row r="20" spans="1:4" x14ac:dyDescent="0.15">
      <c r="A20" s="15">
        <v>33008</v>
      </c>
      <c r="B20" s="7">
        <v>0.51500000000000001</v>
      </c>
      <c r="C20" s="43" t="s">
        <v>827</v>
      </c>
      <c r="D20" s="44">
        <v>0.77733333333333332</v>
      </c>
    </row>
    <row r="21" spans="1:4" x14ac:dyDescent="0.15">
      <c r="A21" s="15">
        <v>33039</v>
      </c>
      <c r="B21" s="7">
        <v>0.49399999999999999</v>
      </c>
      <c r="C21" s="43" t="s">
        <v>828</v>
      </c>
      <c r="D21" s="44">
        <v>0.7553333333333333</v>
      </c>
    </row>
    <row r="22" spans="1:4" x14ac:dyDescent="0.15">
      <c r="A22" s="15">
        <v>33069</v>
      </c>
      <c r="B22" s="7">
        <v>0.53500000000000003</v>
      </c>
      <c r="C22" s="43" t="s">
        <v>829</v>
      </c>
      <c r="D22" s="44">
        <v>0.90433333333333332</v>
      </c>
    </row>
    <row r="23" spans="1:4" x14ac:dyDescent="0.15">
      <c r="A23" s="15">
        <v>33100</v>
      </c>
      <c r="B23" s="7">
        <v>0.79100000000000004</v>
      </c>
      <c r="C23" s="43" t="s">
        <v>830</v>
      </c>
      <c r="D23" s="44">
        <v>0.95766666666666656</v>
      </c>
    </row>
    <row r="24" spans="1:4" x14ac:dyDescent="0.15">
      <c r="A24" s="15">
        <v>33131</v>
      </c>
      <c r="B24" s="7">
        <v>1.012</v>
      </c>
      <c r="C24" s="43" t="s">
        <v>831</v>
      </c>
      <c r="D24" s="44">
        <v>0.81099999999999994</v>
      </c>
    </row>
    <row r="25" spans="1:4" x14ac:dyDescent="0.15">
      <c r="A25" s="15">
        <v>33161</v>
      </c>
      <c r="B25" s="7">
        <v>1.196</v>
      </c>
      <c r="C25" s="43" t="s">
        <v>832</v>
      </c>
      <c r="D25" s="44">
        <v>0.78600000000000003</v>
      </c>
    </row>
    <row r="26" spans="1:4" x14ac:dyDescent="0.15">
      <c r="A26" s="15">
        <v>33192</v>
      </c>
      <c r="B26" s="7">
        <v>0.97099999999999997</v>
      </c>
      <c r="C26" s="43" t="s">
        <v>833</v>
      </c>
      <c r="D26" s="44">
        <v>0.73766666666666669</v>
      </c>
    </row>
    <row r="27" spans="1:4" x14ac:dyDescent="0.15">
      <c r="A27" s="15">
        <v>33222</v>
      </c>
      <c r="B27" s="7">
        <v>0.80300000000000005</v>
      </c>
      <c r="C27" s="43" t="s">
        <v>834</v>
      </c>
      <c r="D27" s="44">
        <v>0.56000000000000005</v>
      </c>
    </row>
    <row r="28" spans="1:4" x14ac:dyDescent="0.15">
      <c r="A28" s="15">
        <v>33253</v>
      </c>
      <c r="B28" s="7">
        <v>0.74099999999999999</v>
      </c>
      <c r="C28" s="43" t="s">
        <v>835</v>
      </c>
      <c r="D28" s="44">
        <v>0.57133333333333336</v>
      </c>
    </row>
    <row r="29" spans="1:4" x14ac:dyDescent="0.15">
      <c r="A29" s="15">
        <v>33284</v>
      </c>
      <c r="B29" s="7">
        <v>0.63700000000000001</v>
      </c>
      <c r="C29" s="43" t="s">
        <v>836</v>
      </c>
      <c r="D29" s="44">
        <v>0.66266666666666663</v>
      </c>
    </row>
    <row r="30" spans="1:4" x14ac:dyDescent="0.15">
      <c r="A30" s="15">
        <v>33312</v>
      </c>
      <c r="B30" s="7">
        <v>0.55800000000000005</v>
      </c>
      <c r="C30" s="43" t="s">
        <v>837</v>
      </c>
      <c r="D30" s="44">
        <v>0.73766666666666669</v>
      </c>
    </row>
    <row r="31" spans="1:4" x14ac:dyDescent="0.15">
      <c r="A31" s="15">
        <v>33343</v>
      </c>
      <c r="B31" s="7">
        <v>0.55200000000000005</v>
      </c>
      <c r="C31" s="43" t="s">
        <v>838</v>
      </c>
      <c r="D31" s="44">
        <v>0.76966666666666672</v>
      </c>
    </row>
    <row r="32" spans="1:4" x14ac:dyDescent="0.15">
      <c r="A32" s="15">
        <v>33373</v>
      </c>
      <c r="B32" s="7">
        <v>0.56899999999999995</v>
      </c>
      <c r="C32" s="43" t="s">
        <v>839</v>
      </c>
      <c r="D32" s="44">
        <v>0.94499999999999995</v>
      </c>
    </row>
    <row r="33" spans="1:4" x14ac:dyDescent="0.15">
      <c r="A33" s="15">
        <v>33404</v>
      </c>
      <c r="B33" s="7">
        <v>0.54700000000000004</v>
      </c>
      <c r="C33" s="43" t="s">
        <v>840</v>
      </c>
      <c r="D33" s="44">
        <v>0.73499999999999999</v>
      </c>
    </row>
    <row r="34" spans="1:4" x14ac:dyDescent="0.15">
      <c r="A34" s="15">
        <v>33434</v>
      </c>
      <c r="B34" s="7">
        <v>0.58599999999999997</v>
      </c>
      <c r="C34" s="43" t="s">
        <v>841</v>
      </c>
      <c r="D34" s="44">
        <v>0.78033333333333343</v>
      </c>
    </row>
    <row r="35" spans="1:4" x14ac:dyDescent="0.15">
      <c r="A35" s="15">
        <v>33465</v>
      </c>
      <c r="B35" s="7">
        <v>0.623</v>
      </c>
      <c r="C35" s="43" t="s">
        <v>842</v>
      </c>
      <c r="D35" s="44">
        <v>0.84233333333333327</v>
      </c>
    </row>
    <row r="36" spans="1:4" x14ac:dyDescent="0.15">
      <c r="A36" s="15">
        <v>33496</v>
      </c>
      <c r="B36" s="7">
        <v>0.63500000000000001</v>
      </c>
      <c r="C36" s="43" t="s">
        <v>843</v>
      </c>
      <c r="D36" s="44">
        <v>0.95933333333333337</v>
      </c>
    </row>
    <row r="37" spans="1:4" x14ac:dyDescent="0.15">
      <c r="A37" s="15">
        <v>33526</v>
      </c>
      <c r="B37" s="7">
        <v>0.67100000000000004</v>
      </c>
      <c r="C37" s="43" t="s">
        <v>844</v>
      </c>
      <c r="D37" s="44">
        <v>1.0323333333333333</v>
      </c>
    </row>
    <row r="38" spans="1:4" x14ac:dyDescent="0.15">
      <c r="A38" s="15">
        <v>33557</v>
      </c>
      <c r="B38" s="7">
        <v>0.64500000000000002</v>
      </c>
      <c r="C38" s="43" t="s">
        <v>845</v>
      </c>
      <c r="D38" s="44">
        <v>1.2446666666666666</v>
      </c>
    </row>
    <row r="39" spans="1:4" x14ac:dyDescent="0.15">
      <c r="A39" s="15">
        <v>33587</v>
      </c>
      <c r="B39" s="7">
        <v>0.52200000000000002</v>
      </c>
      <c r="C39" s="43" t="s">
        <v>846</v>
      </c>
      <c r="D39" s="44">
        <v>1.3633333333333333</v>
      </c>
    </row>
    <row r="40" spans="1:4" x14ac:dyDescent="0.15">
      <c r="A40" s="15">
        <v>33618</v>
      </c>
      <c r="B40" s="7">
        <v>0.50900000000000001</v>
      </c>
      <c r="C40" s="43" t="s">
        <v>847</v>
      </c>
      <c r="D40" s="44">
        <v>1.4100000000000001</v>
      </c>
    </row>
    <row r="41" spans="1:4" x14ac:dyDescent="0.15">
      <c r="A41" s="15">
        <v>33649</v>
      </c>
      <c r="B41" s="7">
        <v>0.54300000000000004</v>
      </c>
      <c r="C41" s="43" t="s">
        <v>848</v>
      </c>
      <c r="D41" s="44">
        <v>1.5660000000000001</v>
      </c>
    </row>
    <row r="42" spans="1:4" x14ac:dyDescent="0.15">
      <c r="A42" s="15">
        <v>33678</v>
      </c>
      <c r="B42" s="7">
        <v>0.51400000000000001</v>
      </c>
      <c r="C42" s="43" t="s">
        <v>849</v>
      </c>
      <c r="D42" s="44">
        <v>1.9236666666666669</v>
      </c>
    </row>
    <row r="43" spans="1:4" x14ac:dyDescent="0.15">
      <c r="A43" s="15">
        <v>33709</v>
      </c>
      <c r="B43" s="7">
        <v>0.54300000000000004</v>
      </c>
      <c r="C43" s="43" t="s">
        <v>850</v>
      </c>
      <c r="D43" s="44">
        <v>1.9410000000000001</v>
      </c>
    </row>
    <row r="44" spans="1:4" x14ac:dyDescent="0.15">
      <c r="A44" s="15">
        <v>33739</v>
      </c>
      <c r="B44" s="7">
        <v>0.57899999999999996</v>
      </c>
      <c r="C44" s="43" t="s">
        <v>851</v>
      </c>
      <c r="D44" s="44">
        <v>1.8150000000000002</v>
      </c>
    </row>
    <row r="45" spans="1:4" x14ac:dyDescent="0.15">
      <c r="A45" s="15">
        <v>33770</v>
      </c>
      <c r="B45" s="7">
        <v>0.61499999999999999</v>
      </c>
      <c r="C45" s="43" t="s">
        <v>852</v>
      </c>
      <c r="D45" s="44">
        <v>2.0749999999999997</v>
      </c>
    </row>
    <row r="46" spans="1:4" x14ac:dyDescent="0.15">
      <c r="A46" s="15">
        <v>33800</v>
      </c>
      <c r="B46" s="7">
        <v>0.61099999999999999</v>
      </c>
      <c r="C46" s="43" t="s">
        <v>853</v>
      </c>
      <c r="D46" s="44">
        <v>2.0323333333333333</v>
      </c>
    </row>
    <row r="47" spans="1:4" x14ac:dyDescent="0.15">
      <c r="A47" s="15">
        <v>33831</v>
      </c>
      <c r="B47" s="7">
        <v>0.59</v>
      </c>
      <c r="C47" s="43" t="s">
        <v>854</v>
      </c>
      <c r="D47" s="44">
        <v>1.7606666666666666</v>
      </c>
    </row>
    <row r="48" spans="1:4" x14ac:dyDescent="0.15">
      <c r="A48" s="15">
        <v>33862</v>
      </c>
      <c r="B48" s="7">
        <v>0.623</v>
      </c>
      <c r="C48" s="43" t="s">
        <v>855</v>
      </c>
      <c r="D48" s="44">
        <v>1.7466666666666668</v>
      </c>
    </row>
    <row r="49" spans="1:4" x14ac:dyDescent="0.15">
      <c r="A49" s="15">
        <v>33892</v>
      </c>
      <c r="B49" s="7">
        <v>0.621</v>
      </c>
      <c r="C49" s="43" t="s">
        <v>856</v>
      </c>
      <c r="D49" s="44">
        <v>2.0596666666666668</v>
      </c>
    </row>
    <row r="50" spans="1:4" x14ac:dyDescent="0.15">
      <c r="A50" s="15">
        <v>33923</v>
      </c>
      <c r="B50" s="7">
        <v>0.56100000000000005</v>
      </c>
      <c r="C50" s="43" t="s">
        <v>857</v>
      </c>
      <c r="D50" s="44">
        <v>2.1646666666666667</v>
      </c>
    </row>
    <row r="51" spans="1:4" x14ac:dyDescent="0.15">
      <c r="A51" s="15">
        <v>33953</v>
      </c>
      <c r="B51" s="7">
        <v>0.54400000000000004</v>
      </c>
      <c r="C51" s="43" t="s">
        <v>858</v>
      </c>
      <c r="D51" s="44">
        <v>2.5486666666666666</v>
      </c>
    </row>
    <row r="52" spans="1:4" x14ac:dyDescent="0.15">
      <c r="A52" s="15">
        <v>33984</v>
      </c>
      <c r="B52" s="7">
        <v>0.53400000000000003</v>
      </c>
      <c r="C52" s="43" t="s">
        <v>859</v>
      </c>
      <c r="D52" s="44">
        <v>2.8190000000000004</v>
      </c>
    </row>
    <row r="53" spans="1:4" x14ac:dyDescent="0.15">
      <c r="A53" s="15">
        <v>34015</v>
      </c>
      <c r="B53" s="7">
        <v>0.55300000000000005</v>
      </c>
      <c r="C53" s="43" t="s">
        <v>860</v>
      </c>
      <c r="D53" s="44">
        <v>3.6603333333333334</v>
      </c>
    </row>
    <row r="54" spans="1:4" x14ac:dyDescent="0.15">
      <c r="A54" s="15">
        <v>34043</v>
      </c>
      <c r="B54" s="7">
        <v>0.55800000000000005</v>
      </c>
      <c r="C54" s="43" t="s">
        <v>861</v>
      </c>
      <c r="D54" s="44">
        <v>3.5106666666666668</v>
      </c>
    </row>
    <row r="55" spans="1:4" x14ac:dyDescent="0.15">
      <c r="A55" s="15">
        <v>34074</v>
      </c>
      <c r="B55" s="7">
        <v>0.55100000000000005</v>
      </c>
      <c r="C55" s="43" t="s">
        <v>862</v>
      </c>
      <c r="D55" s="44">
        <v>1.8566666666666667</v>
      </c>
    </row>
    <row r="56" spans="1:4" x14ac:dyDescent="0.15">
      <c r="A56" s="15">
        <v>34104</v>
      </c>
      <c r="B56" s="7">
        <v>0.55300000000000005</v>
      </c>
      <c r="C56" s="43" t="s">
        <v>863</v>
      </c>
      <c r="D56" s="44">
        <v>1.3319999999999999</v>
      </c>
    </row>
    <row r="57" spans="1:4" x14ac:dyDescent="0.15">
      <c r="A57" s="15">
        <v>34135</v>
      </c>
      <c r="B57" s="7">
        <v>0.52600000000000002</v>
      </c>
      <c r="C57" s="43" t="s">
        <v>864</v>
      </c>
      <c r="D57" s="44">
        <v>1.554</v>
      </c>
    </row>
    <row r="58" spans="1:4" x14ac:dyDescent="0.15">
      <c r="A58" s="15">
        <v>34165</v>
      </c>
      <c r="B58" s="7">
        <v>0.49399999999999999</v>
      </c>
      <c r="C58" s="43" t="s">
        <v>865</v>
      </c>
      <c r="D58" s="44">
        <v>1.782</v>
      </c>
    </row>
    <row r="59" spans="1:4" x14ac:dyDescent="0.15">
      <c r="A59" s="15">
        <v>34196</v>
      </c>
      <c r="B59" s="7">
        <v>0.501</v>
      </c>
      <c r="C59" s="43" t="s">
        <v>866</v>
      </c>
      <c r="D59" s="44">
        <v>1.9690000000000001</v>
      </c>
    </row>
    <row r="60" spans="1:4" x14ac:dyDescent="0.15">
      <c r="A60" s="15">
        <v>34227</v>
      </c>
      <c r="B60" s="7">
        <v>0.53500000000000003</v>
      </c>
      <c r="C60" s="43" t="s">
        <v>867</v>
      </c>
      <c r="D60" s="44">
        <v>2.049666666666667</v>
      </c>
    </row>
    <row r="61" spans="1:4" x14ac:dyDescent="0.15">
      <c r="A61" s="15">
        <v>34257</v>
      </c>
      <c r="B61" s="7">
        <v>0.56799999999999995</v>
      </c>
      <c r="C61" s="43" t="s">
        <v>868</v>
      </c>
      <c r="D61" s="44">
        <v>2.1213333333333333</v>
      </c>
    </row>
    <row r="62" spans="1:4" x14ac:dyDescent="0.15">
      <c r="A62" s="15">
        <v>34288</v>
      </c>
      <c r="B62" s="7">
        <v>0.53300000000000003</v>
      </c>
      <c r="C62" s="43" t="s">
        <v>869</v>
      </c>
      <c r="D62" s="44">
        <v>2.0720000000000001</v>
      </c>
    </row>
    <row r="63" spans="1:4" x14ac:dyDescent="0.15">
      <c r="A63" s="15">
        <v>34318</v>
      </c>
      <c r="B63" s="7">
        <v>0.44600000000000001</v>
      </c>
      <c r="C63" s="43" t="s">
        <v>870</v>
      </c>
      <c r="D63" s="44">
        <v>2.341333333333333</v>
      </c>
    </row>
    <row r="64" spans="1:4" x14ac:dyDescent="0.15">
      <c r="A64" s="15">
        <v>34349</v>
      </c>
      <c r="B64" s="7">
        <v>0.52800000000000002</v>
      </c>
      <c r="C64" s="43" t="s">
        <v>871</v>
      </c>
      <c r="D64" s="44">
        <v>2.8610000000000002</v>
      </c>
    </row>
    <row r="65" spans="1:4" x14ac:dyDescent="0.15">
      <c r="A65" s="15">
        <v>34380</v>
      </c>
      <c r="B65" s="7">
        <v>0.501</v>
      </c>
      <c r="C65" s="43" t="s">
        <v>872</v>
      </c>
      <c r="D65" s="44">
        <v>3.1326666666666667</v>
      </c>
    </row>
    <row r="66" spans="1:4" x14ac:dyDescent="0.15">
      <c r="A66" s="15">
        <v>34408</v>
      </c>
      <c r="B66" s="7">
        <v>0.45100000000000001</v>
      </c>
      <c r="C66" s="43" t="s">
        <v>873</v>
      </c>
      <c r="D66" s="44">
        <v>3.0289999999999999</v>
      </c>
    </row>
    <row r="67" spans="1:4" x14ac:dyDescent="0.15">
      <c r="A67" s="15">
        <v>34439</v>
      </c>
      <c r="B67" s="7">
        <v>0.46899999999999997</v>
      </c>
      <c r="C67" s="43" t="s">
        <v>874</v>
      </c>
      <c r="D67" s="44">
        <v>2.9616666666666673</v>
      </c>
    </row>
    <row r="68" spans="1:4" x14ac:dyDescent="0.15">
      <c r="A68" s="15">
        <v>34469</v>
      </c>
      <c r="B68" s="7">
        <v>0.47199999999999998</v>
      </c>
      <c r="C68" s="43" t="s">
        <v>875</v>
      </c>
      <c r="D68" s="44">
        <v>3.1833333333333336</v>
      </c>
    </row>
    <row r="69" spans="1:4" x14ac:dyDescent="0.15">
      <c r="A69" s="15">
        <v>34500</v>
      </c>
      <c r="B69" s="7">
        <v>0.49299999999999999</v>
      </c>
      <c r="C69" s="43" t="s">
        <v>876</v>
      </c>
      <c r="D69" s="44">
        <v>2.9593333333333334</v>
      </c>
    </row>
    <row r="70" spans="1:4" x14ac:dyDescent="0.15">
      <c r="A70" s="15">
        <v>34530</v>
      </c>
      <c r="B70" s="7">
        <v>0.50900000000000001</v>
      </c>
      <c r="C70" s="43" t="s">
        <v>877</v>
      </c>
      <c r="D70" s="44">
        <v>3.0796666666666668</v>
      </c>
    </row>
    <row r="71" spans="1:4" x14ac:dyDescent="0.15">
      <c r="A71" s="15">
        <v>34561</v>
      </c>
      <c r="B71" s="7">
        <v>0.498</v>
      </c>
      <c r="C71" s="43" t="s">
        <v>878</v>
      </c>
      <c r="D71" s="44">
        <v>3.0036666666666663</v>
      </c>
    </row>
    <row r="72" spans="1:4" x14ac:dyDescent="0.15">
      <c r="A72" s="15">
        <v>34592</v>
      </c>
      <c r="B72" s="7">
        <v>0.49</v>
      </c>
      <c r="C72" s="43" t="s">
        <v>879</v>
      </c>
      <c r="D72" s="44">
        <v>3.0926666666666667</v>
      </c>
    </row>
    <row r="73" spans="1:4" x14ac:dyDescent="0.15">
      <c r="A73" s="15">
        <v>34622</v>
      </c>
      <c r="B73" s="7">
        <v>0.50900000000000001</v>
      </c>
      <c r="C73" s="43" t="s">
        <v>880</v>
      </c>
      <c r="D73" s="44">
        <v>2.7673333333333332</v>
      </c>
    </row>
    <row r="74" spans="1:4" x14ac:dyDescent="0.15">
      <c r="A74" s="15">
        <v>34653</v>
      </c>
      <c r="B74" s="7">
        <v>0.51300000000000001</v>
      </c>
      <c r="C74" s="43" t="s">
        <v>881</v>
      </c>
      <c r="D74" s="44">
        <v>2.9436666666666667</v>
      </c>
    </row>
    <row r="75" spans="1:4" x14ac:dyDescent="0.15">
      <c r="A75" s="15">
        <v>34683</v>
      </c>
      <c r="B75" s="7">
        <v>0.48699999999999999</v>
      </c>
      <c r="C75" s="43" t="s">
        <v>882</v>
      </c>
      <c r="D75" s="44">
        <v>2.89</v>
      </c>
    </row>
    <row r="76" spans="1:4" x14ac:dyDescent="0.15">
      <c r="A76" s="15">
        <v>34714</v>
      </c>
      <c r="B76" s="7">
        <v>0.47199999999999998</v>
      </c>
      <c r="C76" s="43" t="s">
        <v>883</v>
      </c>
      <c r="D76" s="44">
        <v>2.9253333333333331</v>
      </c>
    </row>
    <row r="77" spans="1:4" x14ac:dyDescent="0.15">
      <c r="A77" s="15">
        <v>34745</v>
      </c>
      <c r="B77" s="7">
        <v>0.46700000000000003</v>
      </c>
      <c r="C77" s="43" t="s">
        <v>884</v>
      </c>
      <c r="D77" s="44">
        <v>2.8796666666666666</v>
      </c>
    </row>
    <row r="78" spans="1:4" x14ac:dyDescent="0.15">
      <c r="A78" s="15">
        <v>34773</v>
      </c>
      <c r="B78" s="7">
        <v>0.44900000000000001</v>
      </c>
      <c r="C78" s="43" t="s">
        <v>885</v>
      </c>
      <c r="D78" s="44">
        <v>2.7950000000000004</v>
      </c>
    </row>
    <row r="79" spans="1:4" x14ac:dyDescent="0.15">
      <c r="A79" s="15">
        <v>34804</v>
      </c>
      <c r="B79" s="7">
        <v>0.5</v>
      </c>
      <c r="C79" s="43" t="s">
        <v>886</v>
      </c>
      <c r="D79" s="44">
        <v>2.1859999999999999</v>
      </c>
    </row>
    <row r="80" spans="1:4" x14ac:dyDescent="0.15">
      <c r="A80" s="15">
        <v>34834</v>
      </c>
      <c r="B80" s="7">
        <v>0.51100000000000001</v>
      </c>
      <c r="C80" s="43" t="s">
        <v>887</v>
      </c>
      <c r="D80" s="44">
        <v>1.6303333333333334</v>
      </c>
    </row>
    <row r="81" spans="1:4" x14ac:dyDescent="0.15">
      <c r="A81" s="15">
        <v>34865</v>
      </c>
      <c r="B81" s="7">
        <v>0.47799999999999998</v>
      </c>
      <c r="C81" s="43" t="s">
        <v>888</v>
      </c>
      <c r="D81" s="44">
        <v>1.7610000000000001</v>
      </c>
    </row>
    <row r="82" spans="1:4" x14ac:dyDescent="0.15">
      <c r="A82" s="15">
        <v>34895</v>
      </c>
      <c r="B82" s="7">
        <v>0.46700000000000003</v>
      </c>
      <c r="C82" s="43" t="s">
        <v>889</v>
      </c>
      <c r="D82" s="44">
        <v>1.4443333333333335</v>
      </c>
    </row>
    <row r="83" spans="1:4" x14ac:dyDescent="0.15">
      <c r="A83" s="15">
        <v>34926</v>
      </c>
      <c r="B83" s="7">
        <v>0.496</v>
      </c>
      <c r="C83" s="43" t="s">
        <v>890</v>
      </c>
      <c r="D83" s="44">
        <v>1.2663333333333335</v>
      </c>
    </row>
    <row r="84" spans="1:4" x14ac:dyDescent="0.15">
      <c r="A84" s="15">
        <v>34957</v>
      </c>
      <c r="B84" s="7">
        <v>0.51300000000000001</v>
      </c>
      <c r="C84" s="43" t="s">
        <v>891</v>
      </c>
      <c r="D84" s="44">
        <v>0.9906666666666667</v>
      </c>
    </row>
    <row r="85" spans="1:4" x14ac:dyDescent="0.15">
      <c r="A85" s="15">
        <v>34987</v>
      </c>
      <c r="B85" s="7">
        <v>0.502</v>
      </c>
      <c r="C85" s="43" t="s">
        <v>892</v>
      </c>
      <c r="D85" s="44">
        <v>1.2759999999999998</v>
      </c>
    </row>
    <row r="86" spans="1:4" x14ac:dyDescent="0.15">
      <c r="A86" s="15">
        <v>35018</v>
      </c>
      <c r="B86" s="7">
        <v>0.52400000000000002</v>
      </c>
      <c r="C86" s="43" t="s">
        <v>893</v>
      </c>
      <c r="D86" s="44">
        <v>1.2953333333333334</v>
      </c>
    </row>
    <row r="87" spans="1:4" x14ac:dyDescent="0.15">
      <c r="A87" s="15">
        <v>35048</v>
      </c>
      <c r="B87" s="7">
        <v>0.55300000000000005</v>
      </c>
      <c r="C87" s="43" t="s">
        <v>894</v>
      </c>
      <c r="D87" s="44">
        <v>1.4346666666666668</v>
      </c>
    </row>
    <row r="88" spans="1:4" x14ac:dyDescent="0.15">
      <c r="A88" s="15">
        <v>35079</v>
      </c>
      <c r="B88" s="7">
        <v>0.55000000000000004</v>
      </c>
      <c r="C88" s="43" t="s">
        <v>895</v>
      </c>
      <c r="D88" s="44">
        <v>1.502</v>
      </c>
    </row>
    <row r="89" spans="1:4" x14ac:dyDescent="0.15">
      <c r="A89" s="15">
        <v>35110</v>
      </c>
      <c r="B89" s="7">
        <v>0.55700000000000005</v>
      </c>
      <c r="C89" s="43" t="s">
        <v>896</v>
      </c>
      <c r="D89" s="44">
        <v>1.4056666666666666</v>
      </c>
    </row>
    <row r="90" spans="1:4" x14ac:dyDescent="0.15">
      <c r="A90" s="15">
        <v>35139</v>
      </c>
      <c r="B90" s="7">
        <v>0.58599999999999997</v>
      </c>
      <c r="C90" s="43" t="s">
        <v>897</v>
      </c>
      <c r="D90" s="44">
        <v>1.5926666666666665</v>
      </c>
    </row>
    <row r="91" spans="1:4" x14ac:dyDescent="0.15">
      <c r="A91" s="15">
        <v>35170</v>
      </c>
      <c r="B91" s="7">
        <v>0.61699999999999999</v>
      </c>
      <c r="C91" s="43" t="s">
        <v>898</v>
      </c>
      <c r="D91" s="44">
        <v>1.7453333333333332</v>
      </c>
    </row>
    <row r="92" spans="1:4" x14ac:dyDescent="0.15">
      <c r="A92" s="15">
        <v>35200</v>
      </c>
      <c r="B92" s="7">
        <v>0.55700000000000005</v>
      </c>
      <c r="C92" s="43" t="s">
        <v>899</v>
      </c>
      <c r="D92" s="44">
        <v>1.8863333333333336</v>
      </c>
    </row>
    <row r="93" spans="1:4" x14ac:dyDescent="0.15">
      <c r="A93" s="15">
        <v>35231</v>
      </c>
      <c r="B93" s="7">
        <v>0.51600000000000001</v>
      </c>
      <c r="C93" s="43" t="s">
        <v>900</v>
      </c>
      <c r="D93" s="44">
        <v>2.0866666666666664</v>
      </c>
    </row>
    <row r="94" spans="1:4" x14ac:dyDescent="0.15">
      <c r="A94" s="15">
        <v>35261</v>
      </c>
      <c r="B94" s="7">
        <v>0.55600000000000005</v>
      </c>
      <c r="C94" s="43" t="s">
        <v>901</v>
      </c>
      <c r="D94" s="44">
        <v>2.1349999999999998</v>
      </c>
    </row>
    <row r="95" spans="1:4" x14ac:dyDescent="0.15">
      <c r="A95" s="15">
        <v>35292</v>
      </c>
      <c r="B95" s="7">
        <v>0.61499999999999999</v>
      </c>
      <c r="C95" s="43" t="s">
        <v>902</v>
      </c>
      <c r="D95" s="44">
        <v>1.9633333333333332</v>
      </c>
    </row>
    <row r="96" spans="1:4" x14ac:dyDescent="0.15">
      <c r="A96" s="15">
        <v>35323</v>
      </c>
      <c r="B96" s="7">
        <v>0.68200000000000005</v>
      </c>
      <c r="C96" s="43" t="s">
        <v>903</v>
      </c>
      <c r="D96" s="44">
        <v>1.8666666666666665</v>
      </c>
    </row>
    <row r="97" spans="1:4" x14ac:dyDescent="0.15">
      <c r="A97" s="15">
        <v>35353</v>
      </c>
      <c r="B97" s="7">
        <v>0.70299999999999996</v>
      </c>
      <c r="C97" s="43" t="s">
        <v>904</v>
      </c>
      <c r="D97" s="44">
        <v>1.9219999999999999</v>
      </c>
    </row>
    <row r="98" spans="1:4" x14ac:dyDescent="0.15">
      <c r="A98" s="15">
        <v>35384</v>
      </c>
      <c r="B98" s="7">
        <v>0.69599999999999995</v>
      </c>
      <c r="C98" s="43" t="s">
        <v>905</v>
      </c>
      <c r="D98" s="44">
        <v>1.8623333333333332</v>
      </c>
    </row>
    <row r="99" spans="1:4" x14ac:dyDescent="0.15">
      <c r="A99" s="15">
        <v>35414</v>
      </c>
      <c r="B99" s="7">
        <v>0.69299999999999995</v>
      </c>
      <c r="C99" s="43" t="s">
        <v>906</v>
      </c>
      <c r="D99" s="44">
        <v>1.8593333333333335</v>
      </c>
    </row>
    <row r="100" spans="1:4" x14ac:dyDescent="0.15">
      <c r="A100" s="15">
        <v>35445</v>
      </c>
      <c r="B100" s="7">
        <v>0.68</v>
      </c>
      <c r="C100" s="43" t="s">
        <v>907</v>
      </c>
      <c r="D100" s="44">
        <v>1.4106666666666667</v>
      </c>
    </row>
    <row r="101" spans="1:4" x14ac:dyDescent="0.15">
      <c r="A101" s="15">
        <v>35476</v>
      </c>
      <c r="B101" s="7">
        <v>0.61899999999999999</v>
      </c>
      <c r="C101" s="43" t="s">
        <v>908</v>
      </c>
      <c r="D101" s="44">
        <v>0.7583333333333333</v>
      </c>
    </row>
    <row r="102" spans="1:4" x14ac:dyDescent="0.15">
      <c r="A102" s="15">
        <v>35504</v>
      </c>
      <c r="B102" s="7">
        <v>0.55700000000000005</v>
      </c>
      <c r="C102" s="43" t="s">
        <v>909</v>
      </c>
      <c r="D102" s="44">
        <v>1.0673333333333332</v>
      </c>
    </row>
    <row r="103" spans="1:4" x14ac:dyDescent="0.15">
      <c r="A103" s="15">
        <v>35535</v>
      </c>
      <c r="B103" s="7">
        <v>0.54100000000000004</v>
      </c>
      <c r="C103" s="43" t="s">
        <v>910</v>
      </c>
      <c r="D103" s="44">
        <v>1.1679999999999999</v>
      </c>
    </row>
    <row r="104" spans="1:4" x14ac:dyDescent="0.15">
      <c r="A104" s="15">
        <v>35565</v>
      </c>
      <c r="B104" s="7">
        <v>0.54900000000000004</v>
      </c>
      <c r="C104" s="43" t="s">
        <v>911</v>
      </c>
      <c r="D104" s="44">
        <v>1.5606666666666669</v>
      </c>
    </row>
    <row r="105" spans="1:4" x14ac:dyDescent="0.15">
      <c r="A105" s="15">
        <v>35596</v>
      </c>
      <c r="B105" s="7">
        <v>0.52300000000000002</v>
      </c>
      <c r="C105" s="43" t="s">
        <v>912</v>
      </c>
      <c r="D105" s="44">
        <v>1.7593333333333334</v>
      </c>
    </row>
    <row r="106" spans="1:4" x14ac:dyDescent="0.15">
      <c r="A106" s="15">
        <v>35626</v>
      </c>
      <c r="B106" s="7">
        <v>0.53600000000000003</v>
      </c>
      <c r="C106" s="43" t="s">
        <v>913</v>
      </c>
      <c r="D106" s="44">
        <v>1.9023333333333332</v>
      </c>
    </row>
    <row r="107" spans="1:4" x14ac:dyDescent="0.15">
      <c r="A107" s="15">
        <v>35657</v>
      </c>
      <c r="B107" s="7">
        <v>0.55900000000000005</v>
      </c>
      <c r="C107" s="43" t="s">
        <v>914</v>
      </c>
      <c r="D107" s="44">
        <v>2.1946666666666665</v>
      </c>
    </row>
    <row r="108" spans="1:4" x14ac:dyDescent="0.15">
      <c r="A108" s="15">
        <v>35688</v>
      </c>
      <c r="B108" s="7">
        <v>0.54100000000000004</v>
      </c>
      <c r="C108" s="43" t="s">
        <v>915</v>
      </c>
      <c r="D108" s="44">
        <v>2.8743333333333339</v>
      </c>
    </row>
    <row r="109" spans="1:4" x14ac:dyDescent="0.15">
      <c r="A109" s="15">
        <v>35718</v>
      </c>
      <c r="B109" s="7">
        <v>0.57099999999999995</v>
      </c>
      <c r="C109" s="43" t="s">
        <v>916</v>
      </c>
      <c r="D109" s="44">
        <v>3.9786666666666668</v>
      </c>
    </row>
    <row r="110" spans="1:4" x14ac:dyDescent="0.15">
      <c r="A110" s="15">
        <v>35749</v>
      </c>
      <c r="B110" s="7">
        <v>0.54900000000000004</v>
      </c>
      <c r="C110" s="43" t="s">
        <v>917</v>
      </c>
      <c r="D110" s="44">
        <v>3.359666666666667</v>
      </c>
    </row>
    <row r="111" spans="1:4" x14ac:dyDescent="0.15">
      <c r="A111" s="15">
        <v>35779</v>
      </c>
      <c r="B111" s="7">
        <v>0.496</v>
      </c>
      <c r="C111" s="43"/>
      <c r="D111" s="44"/>
    </row>
    <row r="112" spans="1:4" x14ac:dyDescent="0.15">
      <c r="A112" s="15">
        <v>35810</v>
      </c>
      <c r="B112" s="7">
        <v>0.47599999999999998</v>
      </c>
      <c r="C112" s="43"/>
      <c r="D112" s="44"/>
    </row>
    <row r="113" spans="1:4" x14ac:dyDescent="0.15">
      <c r="A113" s="15">
        <v>35841</v>
      </c>
      <c r="B113" s="7">
        <v>0.44900000000000001</v>
      </c>
      <c r="D113" s="44"/>
    </row>
    <row r="114" spans="1:4" x14ac:dyDescent="0.15">
      <c r="A114" s="15">
        <v>35869</v>
      </c>
      <c r="B114" s="7">
        <v>0.41299999999999998</v>
      </c>
      <c r="D114" s="44"/>
    </row>
    <row r="115" spans="1:4" x14ac:dyDescent="0.15">
      <c r="A115" s="15">
        <v>35900</v>
      </c>
      <c r="B115" s="7">
        <v>0.42599999999999999</v>
      </c>
      <c r="D115" s="44"/>
    </row>
    <row r="116" spans="1:4" x14ac:dyDescent="0.15">
      <c r="A116" s="15">
        <v>35930</v>
      </c>
      <c r="B116" s="7">
        <v>0.41599999999999998</v>
      </c>
      <c r="D116" s="44"/>
    </row>
    <row r="117" spans="1:4" x14ac:dyDescent="0.15">
      <c r="A117" s="15">
        <v>35961</v>
      </c>
      <c r="B117" s="7">
        <v>0.38900000000000001</v>
      </c>
      <c r="D117" s="44"/>
    </row>
    <row r="118" spans="1:4" x14ac:dyDescent="0.15">
      <c r="A118" s="15">
        <v>35991</v>
      </c>
      <c r="B118" s="7">
        <v>0.38600000000000001</v>
      </c>
      <c r="D118" s="44"/>
    </row>
    <row r="119" spans="1:4" x14ac:dyDescent="0.15">
      <c r="A119" s="15">
        <v>36022</v>
      </c>
      <c r="B119" s="7">
        <v>0.372</v>
      </c>
      <c r="D119" s="44"/>
    </row>
    <row r="120" spans="1:4" x14ac:dyDescent="0.15">
      <c r="A120" s="15">
        <v>36053</v>
      </c>
      <c r="B120" s="7">
        <v>0.42</v>
      </c>
      <c r="D120" s="44"/>
    </row>
    <row r="121" spans="1:4" x14ac:dyDescent="0.15">
      <c r="A121" s="15">
        <v>36083</v>
      </c>
      <c r="B121" s="7">
        <v>0.42</v>
      </c>
      <c r="D121" s="44"/>
    </row>
    <row r="122" spans="1:4" x14ac:dyDescent="0.15">
      <c r="A122" s="15">
        <v>36114</v>
      </c>
      <c r="B122" s="7">
        <v>0.371</v>
      </c>
      <c r="D122" s="44"/>
    </row>
    <row r="123" spans="1:4" x14ac:dyDescent="0.15">
      <c r="A123" s="15">
        <v>36144</v>
      </c>
      <c r="B123" s="7">
        <v>0.30399999999999999</v>
      </c>
      <c r="D123" s="44"/>
    </row>
    <row r="124" spans="1:4" x14ac:dyDescent="0.15">
      <c r="A124" s="15">
        <v>36175</v>
      </c>
      <c r="B124" s="7">
        <v>0.33400000000000002</v>
      </c>
      <c r="D124" s="44"/>
    </row>
    <row r="125" spans="1:4" x14ac:dyDescent="0.15">
      <c r="A125" s="15">
        <v>36206</v>
      </c>
      <c r="B125" s="7">
        <v>0.309</v>
      </c>
      <c r="D125" s="44"/>
    </row>
    <row r="126" spans="1:4" x14ac:dyDescent="0.15">
      <c r="A126" s="15">
        <v>36234</v>
      </c>
      <c r="B126" s="7">
        <v>0.378</v>
      </c>
      <c r="D126" s="44"/>
    </row>
    <row r="127" spans="1:4" x14ac:dyDescent="0.15">
      <c r="A127" s="15">
        <v>36265</v>
      </c>
      <c r="B127" s="7">
        <v>0.43</v>
      </c>
      <c r="D127" s="44"/>
    </row>
    <row r="128" spans="1:4" x14ac:dyDescent="0.15">
      <c r="A128" s="15">
        <v>36295</v>
      </c>
      <c r="B128" s="7">
        <v>0.41499999999999998</v>
      </c>
      <c r="D128" s="44"/>
    </row>
    <row r="129" spans="1:4" x14ac:dyDescent="0.15">
      <c r="A129" s="15">
        <v>36326</v>
      </c>
      <c r="B129" s="7">
        <v>0.44</v>
      </c>
      <c r="D129" s="44"/>
    </row>
    <row r="130" spans="1:4" x14ac:dyDescent="0.15">
      <c r="A130" s="15">
        <v>36356</v>
      </c>
      <c r="B130" s="7">
        <v>0.51200000000000001</v>
      </c>
      <c r="D130" s="44"/>
    </row>
    <row r="131" spans="1:4" x14ac:dyDescent="0.15">
      <c r="A131" s="15">
        <v>36387</v>
      </c>
      <c r="B131" s="7">
        <v>0.56399999999999995</v>
      </c>
      <c r="D131" s="44"/>
    </row>
    <row r="132" spans="1:4" x14ac:dyDescent="0.15">
      <c r="A132" s="15">
        <v>36418</v>
      </c>
      <c r="B132" s="7">
        <v>0.61399999999999999</v>
      </c>
      <c r="D132" s="44"/>
    </row>
    <row r="133" spans="1:4" x14ac:dyDescent="0.15">
      <c r="A133" s="15">
        <v>36448</v>
      </c>
      <c r="B133" s="7">
        <v>0.59499999999999997</v>
      </c>
      <c r="D133" s="44"/>
    </row>
    <row r="134" spans="1:4" x14ac:dyDescent="0.15">
      <c r="A134" s="15">
        <v>36479</v>
      </c>
      <c r="B134" s="7">
        <v>0.66100000000000003</v>
      </c>
      <c r="D134" s="44"/>
    </row>
    <row r="135" spans="1:4" x14ac:dyDescent="0.15">
      <c r="A135" s="15">
        <v>36509</v>
      </c>
      <c r="B135" s="7">
        <v>0.70099999999999996</v>
      </c>
      <c r="C135" s="7">
        <f>AVERAGE(B133:B135)</f>
        <v>0.65233333333333332</v>
      </c>
      <c r="D135" s="44"/>
    </row>
    <row r="136" spans="1:4" x14ac:dyDescent="0.15">
      <c r="A136" s="15">
        <v>36540</v>
      </c>
      <c r="B136" s="7">
        <v>0.78100000000000003</v>
      </c>
      <c r="D136" s="44"/>
    </row>
    <row r="137" spans="1:4" x14ac:dyDescent="0.15">
      <c r="A137" s="15">
        <v>36571</v>
      </c>
      <c r="B137" s="7">
        <v>0.78</v>
      </c>
      <c r="D137" s="44"/>
    </row>
    <row r="138" spans="1:4" x14ac:dyDescent="0.15">
      <c r="A138" s="15">
        <v>36600</v>
      </c>
      <c r="B138" s="7">
        <v>0.77100000000000002</v>
      </c>
      <c r="C138" s="7">
        <f>AVERAGE(B136:B138)</f>
        <v>0.77733333333333332</v>
      </c>
      <c r="D138" s="44"/>
    </row>
    <row r="139" spans="1:4" x14ac:dyDescent="0.15">
      <c r="A139" s="15">
        <v>36631</v>
      </c>
      <c r="B139" s="7">
        <v>0.71899999999999997</v>
      </c>
      <c r="D139" s="44"/>
    </row>
    <row r="140" spans="1:4" x14ac:dyDescent="0.15">
      <c r="A140" s="15">
        <v>36661</v>
      </c>
      <c r="B140" s="7">
        <v>0.76200000000000001</v>
      </c>
      <c r="D140" s="44"/>
    </row>
    <row r="141" spans="1:4" x14ac:dyDescent="0.15">
      <c r="A141" s="15">
        <v>36692</v>
      </c>
      <c r="B141" s="7">
        <v>0.78500000000000003</v>
      </c>
      <c r="C141" s="7">
        <f>AVERAGE(B139:B141)</f>
        <v>0.7553333333333333</v>
      </c>
      <c r="D141" s="44"/>
    </row>
    <row r="142" spans="1:4" x14ac:dyDescent="0.15">
      <c r="A142" s="15">
        <v>36722</v>
      </c>
      <c r="B142" s="7">
        <v>0.79600000000000004</v>
      </c>
      <c r="D142" s="44"/>
    </row>
    <row r="143" spans="1:4" x14ac:dyDescent="0.15">
      <c r="A143" s="15">
        <v>36753</v>
      </c>
      <c r="B143" s="7">
        <v>0.9</v>
      </c>
      <c r="D143" s="44"/>
    </row>
    <row r="144" spans="1:4" x14ac:dyDescent="0.15">
      <c r="A144" s="15">
        <v>36784</v>
      </c>
      <c r="B144" s="7">
        <v>1.0169999999999999</v>
      </c>
      <c r="C144" s="7">
        <f>AVERAGE(B142:B144)</f>
        <v>0.90433333333333332</v>
      </c>
      <c r="D144" s="44"/>
    </row>
    <row r="145" spans="1:4" x14ac:dyDescent="0.15">
      <c r="A145" s="15">
        <v>36814</v>
      </c>
      <c r="B145" s="7">
        <v>0.98199999999999998</v>
      </c>
      <c r="D145" s="44"/>
    </row>
    <row r="146" spans="1:4" x14ac:dyDescent="0.15">
      <c r="A146" s="15">
        <v>36845</v>
      </c>
      <c r="B146" s="7">
        <v>1.028</v>
      </c>
      <c r="D146" s="44"/>
    </row>
    <row r="147" spans="1:4" x14ac:dyDescent="0.15">
      <c r="A147" s="15">
        <v>36875</v>
      </c>
      <c r="B147" s="7">
        <v>0.86299999999999999</v>
      </c>
      <c r="C147" s="7">
        <f>AVERAGE(B145:B147)</f>
        <v>0.95766666666666656</v>
      </c>
      <c r="D147" s="44"/>
    </row>
    <row r="148" spans="1:4" x14ac:dyDescent="0.15">
      <c r="A148" s="15">
        <v>36906</v>
      </c>
      <c r="B148" s="7">
        <v>0.87</v>
      </c>
      <c r="D148" s="44"/>
    </row>
    <row r="149" spans="1:4" x14ac:dyDescent="0.15">
      <c r="A149" s="15">
        <v>36937</v>
      </c>
      <c r="B149" s="7">
        <v>0.81499999999999995</v>
      </c>
      <c r="D149" s="44"/>
    </row>
    <row r="150" spans="1:4" x14ac:dyDescent="0.15">
      <c r="A150" s="15">
        <v>36965</v>
      </c>
      <c r="B150" s="7">
        <v>0.748</v>
      </c>
      <c r="C150" s="7">
        <f t="shared" ref="C150" si="0">AVERAGE(B148:B150)</f>
        <v>0.81099999999999994</v>
      </c>
      <c r="D150" s="44"/>
    </row>
    <row r="151" spans="1:4" x14ac:dyDescent="0.15">
      <c r="A151" s="15">
        <v>36996</v>
      </c>
      <c r="B151" s="7">
        <v>0.77</v>
      </c>
      <c r="D151" s="44"/>
    </row>
    <row r="152" spans="1:4" x14ac:dyDescent="0.15">
      <c r="A152" s="15">
        <v>37026</v>
      </c>
      <c r="B152" s="7">
        <v>0.82099999999999995</v>
      </c>
      <c r="D152" s="44"/>
    </row>
    <row r="153" spans="1:4" x14ac:dyDescent="0.15">
      <c r="A153" s="15">
        <v>37057</v>
      </c>
      <c r="B153" s="7">
        <v>0.76700000000000002</v>
      </c>
      <c r="C153" s="7">
        <f t="shared" ref="C153" si="1">AVERAGE(B151:B153)</f>
        <v>0.78600000000000003</v>
      </c>
      <c r="D153" s="44"/>
    </row>
    <row r="154" spans="1:4" x14ac:dyDescent="0.15">
      <c r="A154" s="15">
        <v>37087</v>
      </c>
      <c r="B154" s="7">
        <v>0.71099999999999997</v>
      </c>
      <c r="D154" s="44"/>
    </row>
    <row r="155" spans="1:4" x14ac:dyDescent="0.15">
      <c r="A155" s="15">
        <v>37118</v>
      </c>
      <c r="B155" s="7">
        <v>0.76400000000000001</v>
      </c>
      <c r="D155" s="44"/>
    </row>
    <row r="156" spans="1:4" x14ac:dyDescent="0.15">
      <c r="A156" s="15">
        <v>37149</v>
      </c>
      <c r="B156" s="7">
        <v>0.73799999999999999</v>
      </c>
      <c r="C156" s="7">
        <f t="shared" ref="C156" si="2">AVERAGE(B154:B156)</f>
        <v>0.73766666666666669</v>
      </c>
      <c r="D156" s="44"/>
    </row>
    <row r="157" spans="1:4" x14ac:dyDescent="0.15">
      <c r="A157" s="15">
        <v>37179</v>
      </c>
      <c r="B157" s="7">
        <v>0.622</v>
      </c>
      <c r="D157" s="44"/>
    </row>
    <row r="158" spans="1:4" x14ac:dyDescent="0.15">
      <c r="A158" s="15">
        <v>37210</v>
      </c>
      <c r="B158" s="7">
        <v>0.54300000000000004</v>
      </c>
      <c r="D158" s="44"/>
    </row>
    <row r="159" spans="1:4" x14ac:dyDescent="0.15">
      <c r="A159" s="15">
        <v>37240</v>
      </c>
      <c r="B159" s="7">
        <v>0.51500000000000001</v>
      </c>
      <c r="C159" s="7">
        <f t="shared" ref="C159" si="3">AVERAGE(B157:B159)</f>
        <v>0.56000000000000005</v>
      </c>
      <c r="D159" s="44"/>
    </row>
    <row r="160" spans="1:4" x14ac:dyDescent="0.15">
      <c r="A160" s="15">
        <v>37271</v>
      </c>
      <c r="B160" s="7">
        <v>0.53300000000000003</v>
      </c>
      <c r="D160" s="44"/>
    </row>
    <row r="161" spans="1:4" x14ac:dyDescent="0.15">
      <c r="A161" s="15">
        <v>37302</v>
      </c>
      <c r="B161" s="7">
        <v>0.55100000000000005</v>
      </c>
      <c r="D161" s="44"/>
    </row>
    <row r="162" spans="1:4" x14ac:dyDescent="0.15">
      <c r="A162" s="15">
        <v>37330</v>
      </c>
      <c r="B162" s="7">
        <v>0.63</v>
      </c>
      <c r="C162" s="7">
        <f t="shared" ref="C162" si="4">AVERAGE(B160:B162)</f>
        <v>0.57133333333333336</v>
      </c>
      <c r="D162" s="44"/>
    </row>
    <row r="163" spans="1:4" x14ac:dyDescent="0.15">
      <c r="A163" s="15">
        <v>37361</v>
      </c>
      <c r="B163" s="7">
        <v>0.66900000000000004</v>
      </c>
      <c r="D163" s="44"/>
    </row>
    <row r="164" spans="1:4" x14ac:dyDescent="0.15">
      <c r="A164" s="15">
        <v>37391</v>
      </c>
      <c r="B164" s="7">
        <v>0.66600000000000004</v>
      </c>
      <c r="D164" s="44"/>
    </row>
    <row r="165" spans="1:4" x14ac:dyDescent="0.15">
      <c r="A165" s="15">
        <v>37422</v>
      </c>
      <c r="B165" s="7">
        <v>0.65300000000000002</v>
      </c>
      <c r="C165" s="7">
        <f t="shared" ref="C165" si="5">AVERAGE(B163:B165)</f>
        <v>0.66266666666666663</v>
      </c>
      <c r="D165" s="44"/>
    </row>
    <row r="166" spans="1:4" x14ac:dyDescent="0.15">
      <c r="A166" s="15">
        <v>37452</v>
      </c>
      <c r="B166" s="7">
        <v>0.69099999999999995</v>
      </c>
      <c r="D166" s="44"/>
    </row>
    <row r="167" spans="1:4" x14ac:dyDescent="0.15">
      <c r="A167" s="15">
        <v>37483</v>
      </c>
      <c r="B167" s="7">
        <v>0.72199999999999998</v>
      </c>
      <c r="D167" s="44"/>
    </row>
    <row r="168" spans="1:4" x14ac:dyDescent="0.15">
      <c r="A168" s="15">
        <v>37514</v>
      </c>
      <c r="B168" s="7">
        <v>0.8</v>
      </c>
      <c r="C168" s="7">
        <f t="shared" ref="C168" si="6">AVERAGE(B166:B168)</f>
        <v>0.73766666666666669</v>
      </c>
      <c r="D168" s="44"/>
    </row>
    <row r="169" spans="1:4" x14ac:dyDescent="0.15">
      <c r="A169" s="15">
        <v>37544</v>
      </c>
      <c r="B169" s="7">
        <v>0.79</v>
      </c>
      <c r="D169" s="44"/>
    </row>
    <row r="170" spans="1:4" x14ac:dyDescent="0.15">
      <c r="A170" s="15">
        <v>37575</v>
      </c>
      <c r="B170" s="7">
        <v>0.70799999999999996</v>
      </c>
      <c r="D170" s="44"/>
    </row>
    <row r="171" spans="1:4" x14ac:dyDescent="0.15">
      <c r="A171" s="15">
        <v>37605</v>
      </c>
      <c r="B171" s="7">
        <v>0.81100000000000005</v>
      </c>
      <c r="C171" s="7">
        <f t="shared" ref="C171" si="7">AVERAGE(B169:B171)</f>
        <v>0.76966666666666672</v>
      </c>
      <c r="D171" s="44"/>
    </row>
    <row r="172" spans="1:4" x14ac:dyDescent="0.15">
      <c r="A172" s="15">
        <v>37636</v>
      </c>
      <c r="B172" s="7">
        <v>0.88700000000000001</v>
      </c>
      <c r="D172" s="44"/>
    </row>
    <row r="173" spans="1:4" x14ac:dyDescent="0.15">
      <c r="A173" s="15">
        <v>37667</v>
      </c>
      <c r="B173" s="7">
        <v>1.0549999999999999</v>
      </c>
      <c r="D173" s="44"/>
    </row>
    <row r="174" spans="1:4" x14ac:dyDescent="0.15">
      <c r="A174" s="15">
        <v>37695</v>
      </c>
      <c r="B174" s="7">
        <v>0.89300000000000002</v>
      </c>
      <c r="C174" s="7">
        <f t="shared" ref="C174" si="8">AVERAGE(B172:B174)</f>
        <v>0.94499999999999995</v>
      </c>
      <c r="D174" s="44"/>
    </row>
    <row r="175" spans="1:4" x14ac:dyDescent="0.15">
      <c r="A175" s="15">
        <v>37726</v>
      </c>
      <c r="B175" s="7">
        <v>0.74299999999999999</v>
      </c>
      <c r="D175" s="44"/>
    </row>
    <row r="176" spans="1:4" x14ac:dyDescent="0.15">
      <c r="A176" s="15">
        <v>37756</v>
      </c>
      <c r="B176" s="7">
        <v>0.71399999999999997</v>
      </c>
      <c r="D176" s="44"/>
    </row>
    <row r="177" spans="1:4" x14ac:dyDescent="0.15">
      <c r="A177" s="15">
        <v>37787</v>
      </c>
      <c r="B177" s="7">
        <v>0.748</v>
      </c>
      <c r="C177" s="7">
        <f t="shared" ref="C177" si="9">AVERAGE(B175:B177)</f>
        <v>0.73499999999999999</v>
      </c>
      <c r="D177" s="44"/>
    </row>
    <row r="178" spans="1:4" x14ac:dyDescent="0.15">
      <c r="A178" s="15">
        <v>37817</v>
      </c>
      <c r="B178" s="7">
        <v>0.78</v>
      </c>
      <c r="D178" s="44"/>
    </row>
    <row r="179" spans="1:4" x14ac:dyDescent="0.15">
      <c r="A179" s="15">
        <v>37848</v>
      </c>
      <c r="B179" s="7">
        <v>0.82299999999999995</v>
      </c>
      <c r="D179" s="44"/>
    </row>
    <row r="180" spans="1:4" x14ac:dyDescent="0.15">
      <c r="A180" s="15">
        <v>37879</v>
      </c>
      <c r="B180" s="7">
        <v>0.73799999999999999</v>
      </c>
      <c r="C180" s="7">
        <f t="shared" ref="C180" si="10">AVERAGE(B178:B180)</f>
        <v>0.78033333333333343</v>
      </c>
      <c r="D180" s="44"/>
    </row>
    <row r="181" spans="1:4" x14ac:dyDescent="0.15">
      <c r="A181" s="15">
        <v>37909</v>
      </c>
      <c r="B181" s="7">
        <v>0.82</v>
      </c>
      <c r="D181" s="44"/>
    </row>
    <row r="182" spans="1:4" x14ac:dyDescent="0.15">
      <c r="A182" s="15">
        <v>37940</v>
      </c>
      <c r="B182" s="7">
        <v>0.83099999999999996</v>
      </c>
      <c r="D182" s="44"/>
    </row>
    <row r="183" spans="1:4" x14ac:dyDescent="0.15">
      <c r="A183" s="15">
        <v>37970</v>
      </c>
      <c r="B183" s="7">
        <v>0.876</v>
      </c>
      <c r="C183" s="7">
        <f t="shared" ref="C183" si="11">AVERAGE(B181:B183)</f>
        <v>0.84233333333333327</v>
      </c>
      <c r="D183" s="44"/>
    </row>
    <row r="184" spans="1:4" x14ac:dyDescent="0.15">
      <c r="A184" s="15">
        <v>38001</v>
      </c>
      <c r="B184" s="7">
        <v>0.998</v>
      </c>
      <c r="D184" s="44"/>
    </row>
    <row r="185" spans="1:4" x14ac:dyDescent="0.15">
      <c r="A185" s="15">
        <v>38032</v>
      </c>
      <c r="B185" s="7">
        <v>0.93300000000000005</v>
      </c>
      <c r="D185" s="44"/>
    </row>
    <row r="186" spans="1:4" x14ac:dyDescent="0.15">
      <c r="A186" s="15">
        <v>38061</v>
      </c>
      <c r="B186" s="7">
        <v>0.94699999999999995</v>
      </c>
      <c r="C186" s="7">
        <f t="shared" ref="C186" si="12">AVERAGE(B184:B186)</f>
        <v>0.95933333333333337</v>
      </c>
      <c r="D186" s="44"/>
    </row>
    <row r="187" spans="1:4" x14ac:dyDescent="0.15">
      <c r="A187" s="15">
        <v>38092</v>
      </c>
      <c r="B187" s="7">
        <v>0.97299999999999998</v>
      </c>
      <c r="D187" s="44"/>
    </row>
    <row r="188" spans="1:4" x14ac:dyDescent="0.15">
      <c r="A188" s="15">
        <v>38122</v>
      </c>
      <c r="B188" s="7">
        <v>1.0920000000000001</v>
      </c>
      <c r="D188" s="44"/>
    </row>
    <row r="189" spans="1:4" x14ac:dyDescent="0.15">
      <c r="A189" s="15">
        <v>38153</v>
      </c>
      <c r="B189" s="7">
        <v>1.032</v>
      </c>
      <c r="C189" s="7">
        <f t="shared" ref="C189" si="13">AVERAGE(B187:B189)</f>
        <v>1.0323333333333333</v>
      </c>
      <c r="D189" s="44"/>
    </row>
    <row r="190" spans="1:4" x14ac:dyDescent="0.15">
      <c r="A190" s="15">
        <v>38183</v>
      </c>
      <c r="B190" s="7">
        <v>1.145</v>
      </c>
      <c r="D190" s="44"/>
    </row>
    <row r="191" spans="1:4" x14ac:dyDescent="0.15">
      <c r="A191" s="15">
        <v>38214</v>
      </c>
      <c r="B191" s="7">
        <v>1.2270000000000001</v>
      </c>
      <c r="D191" s="44"/>
    </row>
    <row r="192" spans="1:4" x14ac:dyDescent="0.15">
      <c r="A192" s="15">
        <v>38245</v>
      </c>
      <c r="B192" s="7">
        <v>1.3620000000000001</v>
      </c>
      <c r="C192" s="7">
        <f t="shared" ref="C192" si="14">AVERAGE(B190:B192)</f>
        <v>1.2446666666666666</v>
      </c>
      <c r="D192" s="44"/>
    </row>
    <row r="193" spans="1:4" x14ac:dyDescent="0.15">
      <c r="A193" s="15">
        <v>38275</v>
      </c>
      <c r="B193" s="7">
        <v>1.52</v>
      </c>
      <c r="D193" s="44"/>
    </row>
    <row r="194" spans="1:4" x14ac:dyDescent="0.15">
      <c r="A194" s="15">
        <v>38306</v>
      </c>
      <c r="B194" s="7">
        <v>1.347</v>
      </c>
      <c r="D194" s="44"/>
    </row>
    <row r="195" spans="1:4" x14ac:dyDescent="0.15">
      <c r="A195" s="15">
        <v>38336</v>
      </c>
      <c r="B195" s="7">
        <v>1.2230000000000001</v>
      </c>
      <c r="C195" s="7">
        <f t="shared" ref="C195" si="15">AVERAGE(B193:B195)</f>
        <v>1.3633333333333333</v>
      </c>
      <c r="D195" s="44"/>
    </row>
    <row r="196" spans="1:4" x14ac:dyDescent="0.15">
      <c r="A196" s="15">
        <v>38367</v>
      </c>
      <c r="B196" s="7">
        <v>1.3340000000000001</v>
      </c>
      <c r="D196" s="44"/>
    </row>
    <row r="197" spans="1:4" x14ac:dyDescent="0.15">
      <c r="A197" s="15">
        <v>38398</v>
      </c>
      <c r="B197" s="7">
        <v>1.3340000000000001</v>
      </c>
      <c r="D197" s="44"/>
    </row>
    <row r="198" spans="1:4" x14ac:dyDescent="0.15">
      <c r="A198" s="15">
        <v>38426</v>
      </c>
      <c r="B198" s="7">
        <v>1.5620000000000001</v>
      </c>
      <c r="C198" s="7">
        <f t="shared" ref="C198" si="16">AVERAGE(B196:B198)</f>
        <v>1.4100000000000001</v>
      </c>
      <c r="D198" s="44"/>
    </row>
    <row r="199" spans="1:4" x14ac:dyDescent="0.15">
      <c r="A199" s="15">
        <v>38457</v>
      </c>
      <c r="B199" s="7">
        <v>1.573</v>
      </c>
      <c r="D199" s="44"/>
    </row>
    <row r="200" spans="1:4" x14ac:dyDescent="0.15">
      <c r="A200" s="15">
        <v>38487</v>
      </c>
      <c r="B200" s="7">
        <v>1.4710000000000001</v>
      </c>
      <c r="D200" s="44"/>
    </row>
    <row r="201" spans="1:4" x14ac:dyDescent="0.15">
      <c r="A201" s="15">
        <v>38518</v>
      </c>
      <c r="B201" s="7">
        <v>1.6539999999999999</v>
      </c>
      <c r="C201" s="7">
        <f t="shared" ref="C201" si="17">AVERAGE(B199:B201)</f>
        <v>1.5660000000000001</v>
      </c>
      <c r="D201" s="44"/>
    </row>
    <row r="202" spans="1:4" x14ac:dyDescent="0.15">
      <c r="A202" s="15">
        <v>38548</v>
      </c>
      <c r="B202" s="7">
        <v>1.665</v>
      </c>
      <c r="D202" s="44"/>
    </row>
    <row r="203" spans="1:4" x14ac:dyDescent="0.15">
      <c r="A203" s="15">
        <v>38579</v>
      </c>
      <c r="B203" s="7">
        <v>1.8740000000000001</v>
      </c>
      <c r="D203" s="44"/>
    </row>
    <row r="204" spans="1:4" x14ac:dyDescent="0.15">
      <c r="A204" s="15">
        <v>38610</v>
      </c>
      <c r="B204" s="7">
        <v>2.2320000000000002</v>
      </c>
      <c r="C204" s="7">
        <f t="shared" ref="C204" si="18">AVERAGE(B202:B204)</f>
        <v>1.9236666666666669</v>
      </c>
      <c r="D204" s="44"/>
    </row>
    <row r="205" spans="1:4" x14ac:dyDescent="0.15">
      <c r="A205" s="15">
        <v>38640</v>
      </c>
      <c r="B205" s="7">
        <v>2.3980000000000001</v>
      </c>
      <c r="D205" s="44"/>
    </row>
    <row r="206" spans="1:4" x14ac:dyDescent="0.15">
      <c r="A206" s="15">
        <v>38671</v>
      </c>
      <c r="B206" s="7">
        <v>1.698</v>
      </c>
      <c r="D206" s="44"/>
    </row>
    <row r="207" spans="1:4" x14ac:dyDescent="0.15">
      <c r="A207" s="15">
        <v>38701</v>
      </c>
      <c r="B207" s="7">
        <v>1.7270000000000001</v>
      </c>
      <c r="C207" s="7">
        <f t="shared" ref="C207" si="19">AVERAGE(B205:B207)</f>
        <v>1.9410000000000001</v>
      </c>
      <c r="D207" s="44"/>
    </row>
    <row r="208" spans="1:4" x14ac:dyDescent="0.15">
      <c r="A208" s="15">
        <v>38732</v>
      </c>
      <c r="B208" s="7">
        <v>1.8160000000000001</v>
      </c>
      <c r="D208" s="44"/>
    </row>
    <row r="209" spans="1:4" x14ac:dyDescent="0.15">
      <c r="A209" s="15">
        <v>38763</v>
      </c>
      <c r="B209" s="7">
        <v>1.754</v>
      </c>
      <c r="D209" s="44"/>
    </row>
    <row r="210" spans="1:4" x14ac:dyDescent="0.15">
      <c r="A210" s="15">
        <v>38791</v>
      </c>
      <c r="B210" s="7">
        <v>1.875</v>
      </c>
      <c r="C210" s="7">
        <f t="shared" ref="C210" si="20">AVERAGE(B208:B210)</f>
        <v>1.8150000000000002</v>
      </c>
      <c r="D210" s="44"/>
    </row>
    <row r="211" spans="1:4" x14ac:dyDescent="0.15">
      <c r="A211" s="15">
        <v>38822</v>
      </c>
      <c r="B211" s="7">
        <v>2.0739999999999998</v>
      </c>
      <c r="D211" s="44"/>
    </row>
    <row r="212" spans="1:4" x14ac:dyDescent="0.15">
      <c r="A212" s="15">
        <v>38852</v>
      </c>
      <c r="B212" s="7">
        <v>2.0699999999999998</v>
      </c>
      <c r="D212" s="44"/>
    </row>
    <row r="213" spans="1:4" x14ac:dyDescent="0.15">
      <c r="A213" s="15">
        <v>38883</v>
      </c>
      <c r="B213" s="7">
        <v>2.081</v>
      </c>
      <c r="C213" s="7">
        <f t="shared" ref="C213" si="21">AVERAGE(B211:B213)</f>
        <v>2.0749999999999997</v>
      </c>
      <c r="D213" s="44"/>
    </row>
    <row r="214" spans="1:4" x14ac:dyDescent="0.15">
      <c r="A214" s="15">
        <v>38913</v>
      </c>
      <c r="B214" s="7">
        <v>2.1539999999999999</v>
      </c>
      <c r="D214" s="44"/>
    </row>
    <row r="215" spans="1:4" x14ac:dyDescent="0.15">
      <c r="A215" s="15">
        <v>38944</v>
      </c>
      <c r="B215" s="7">
        <v>2.133</v>
      </c>
      <c r="D215" s="44"/>
    </row>
    <row r="216" spans="1:4" x14ac:dyDescent="0.15">
      <c r="A216" s="15">
        <v>38975</v>
      </c>
      <c r="B216" s="7">
        <v>1.81</v>
      </c>
      <c r="C216" s="7">
        <f t="shared" ref="C216" si="22">AVERAGE(B214:B216)</f>
        <v>2.0323333333333333</v>
      </c>
      <c r="D216" s="44"/>
    </row>
    <row r="217" spans="1:4" x14ac:dyDescent="0.15">
      <c r="A217" s="15">
        <v>39005</v>
      </c>
      <c r="B217" s="7">
        <v>1.7390000000000001</v>
      </c>
      <c r="D217" s="44"/>
    </row>
    <row r="218" spans="1:4" x14ac:dyDescent="0.15">
      <c r="A218" s="15">
        <v>39036</v>
      </c>
      <c r="B218" s="7">
        <v>1.7330000000000001</v>
      </c>
      <c r="D218" s="44"/>
    </row>
    <row r="219" spans="1:4" x14ac:dyDescent="0.15">
      <c r="A219" s="15">
        <v>39066</v>
      </c>
      <c r="B219" s="7">
        <v>1.81</v>
      </c>
      <c r="C219" s="7">
        <f t="shared" ref="C219" si="23">AVERAGE(B217:B219)</f>
        <v>1.7606666666666666</v>
      </c>
      <c r="D219" s="44"/>
    </row>
    <row r="220" spans="1:4" x14ac:dyDescent="0.15">
      <c r="A220" s="15">
        <v>39097</v>
      </c>
      <c r="B220" s="7">
        <v>1.6539999999999999</v>
      </c>
      <c r="D220" s="44"/>
    </row>
    <row r="221" spans="1:4" x14ac:dyDescent="0.15">
      <c r="A221" s="15">
        <v>39128</v>
      </c>
      <c r="B221" s="7">
        <v>1.74</v>
      </c>
      <c r="D221" s="44"/>
    </row>
    <row r="222" spans="1:4" x14ac:dyDescent="0.15">
      <c r="A222" s="15">
        <v>39156</v>
      </c>
      <c r="B222" s="7">
        <v>1.8460000000000001</v>
      </c>
      <c r="C222" s="7">
        <f>AVERAGE(B220:B222)</f>
        <v>1.7466666666666668</v>
      </c>
      <c r="D222" s="44"/>
    </row>
    <row r="223" spans="1:4" x14ac:dyDescent="0.15">
      <c r="A223" s="15">
        <v>39187</v>
      </c>
      <c r="B223" s="7">
        <v>2.036</v>
      </c>
      <c r="D223" s="44"/>
    </row>
    <row r="224" spans="1:4" x14ac:dyDescent="0.15">
      <c r="A224" s="15">
        <v>39217</v>
      </c>
      <c r="B224" s="7">
        <v>2.044</v>
      </c>
      <c r="D224" s="44"/>
    </row>
    <row r="225" spans="1:4" x14ac:dyDescent="0.15">
      <c r="A225" s="15">
        <v>39248</v>
      </c>
      <c r="B225" s="7">
        <v>2.0990000000000002</v>
      </c>
      <c r="C225" s="7">
        <f t="shared" ref="C225" si="24">AVERAGE(B223:B225)</f>
        <v>2.0596666666666668</v>
      </c>
      <c r="D225" s="44"/>
    </row>
    <row r="226" spans="1:4" x14ac:dyDescent="0.15">
      <c r="A226" s="15">
        <v>39278</v>
      </c>
      <c r="B226" s="7">
        <v>2.137</v>
      </c>
      <c r="D226" s="44"/>
    </row>
    <row r="227" spans="1:4" x14ac:dyDescent="0.15">
      <c r="A227" s="15">
        <v>39309</v>
      </c>
      <c r="B227" s="7">
        <v>2.0920000000000001</v>
      </c>
      <c r="D227" s="44"/>
    </row>
    <row r="228" spans="1:4" x14ac:dyDescent="0.15">
      <c r="A228" s="15">
        <v>39340</v>
      </c>
      <c r="B228" s="7">
        <v>2.2650000000000001</v>
      </c>
      <c r="C228" s="7">
        <f t="shared" ref="C228" si="25">AVERAGE(B226:B228)</f>
        <v>2.1646666666666667</v>
      </c>
      <c r="D228" s="44"/>
    </row>
    <row r="229" spans="1:4" x14ac:dyDescent="0.15">
      <c r="A229" s="15">
        <v>39370</v>
      </c>
      <c r="B229" s="7">
        <v>2.3719999999999999</v>
      </c>
      <c r="D229" s="44"/>
    </row>
    <row r="230" spans="1:4" x14ac:dyDescent="0.15">
      <c r="A230" s="15">
        <v>39401</v>
      </c>
      <c r="B230" s="7">
        <v>2.673</v>
      </c>
      <c r="D230" s="44"/>
    </row>
    <row r="231" spans="1:4" x14ac:dyDescent="0.15">
      <c r="A231" s="15">
        <v>39431</v>
      </c>
      <c r="B231" s="7">
        <v>2.601</v>
      </c>
      <c r="C231" s="7">
        <f t="shared" ref="C231" si="26">AVERAGE(B229:B231)</f>
        <v>2.5486666666666666</v>
      </c>
      <c r="D231" s="44"/>
    </row>
    <row r="232" spans="1:4" x14ac:dyDescent="0.15">
      <c r="A232" s="15">
        <v>39462</v>
      </c>
      <c r="B232" s="7">
        <v>2.605</v>
      </c>
      <c r="D232" s="44"/>
    </row>
    <row r="233" spans="1:4" x14ac:dyDescent="0.15">
      <c r="A233" s="15">
        <v>39493</v>
      </c>
      <c r="B233" s="7">
        <v>2.7280000000000002</v>
      </c>
      <c r="D233" s="44"/>
    </row>
    <row r="234" spans="1:4" x14ac:dyDescent="0.15">
      <c r="A234" s="15">
        <v>39522</v>
      </c>
      <c r="B234" s="7">
        <v>3.1240000000000001</v>
      </c>
      <c r="C234" s="7">
        <f t="shared" ref="C234" si="27">AVERAGE(B232:B234)</f>
        <v>2.8190000000000004</v>
      </c>
      <c r="D234" s="44"/>
    </row>
    <row r="235" spans="1:4" x14ac:dyDescent="0.15">
      <c r="A235" s="15">
        <v>39553</v>
      </c>
      <c r="B235" s="7">
        <v>3.3650000000000002</v>
      </c>
      <c r="D235" s="44"/>
    </row>
    <row r="236" spans="1:4" x14ac:dyDescent="0.15">
      <c r="A236" s="15">
        <v>39583</v>
      </c>
      <c r="B236" s="7">
        <v>3.738</v>
      </c>
      <c r="D236" s="44"/>
    </row>
    <row r="237" spans="1:4" x14ac:dyDescent="0.15">
      <c r="A237" s="15">
        <v>39614</v>
      </c>
      <c r="B237" s="7">
        <v>3.8780000000000001</v>
      </c>
      <c r="C237" s="7">
        <f t="shared" ref="C237" si="28">AVERAGE(B235:B237)</f>
        <v>3.6603333333333334</v>
      </c>
      <c r="D237" s="44"/>
    </row>
    <row r="238" spans="1:4" x14ac:dyDescent="0.15">
      <c r="A238" s="15">
        <v>39644</v>
      </c>
      <c r="B238" s="7">
        <v>3.8860000000000001</v>
      </c>
      <c r="D238" s="44"/>
    </row>
    <row r="239" spans="1:4" x14ac:dyDescent="0.15">
      <c r="A239" s="15">
        <v>39675</v>
      </c>
      <c r="B239" s="7">
        <v>3.2709999999999999</v>
      </c>
      <c r="D239" s="44"/>
    </row>
    <row r="240" spans="1:4" x14ac:dyDescent="0.15">
      <c r="A240" s="15">
        <v>39706</v>
      </c>
      <c r="B240" s="7">
        <v>3.375</v>
      </c>
      <c r="C240" s="7">
        <f t="shared" ref="C240" si="29">AVERAGE(B238:B240)</f>
        <v>3.5106666666666668</v>
      </c>
      <c r="D240" s="44"/>
    </row>
    <row r="241" spans="1:4" x14ac:dyDescent="0.15">
      <c r="A241" s="15">
        <v>39736</v>
      </c>
      <c r="B241" s="7">
        <v>2.3149999999999999</v>
      </c>
      <c r="D241" s="44"/>
    </row>
    <row r="242" spans="1:4" x14ac:dyDescent="0.15">
      <c r="A242" s="15">
        <v>39767</v>
      </c>
      <c r="B242" s="7">
        <v>1.88</v>
      </c>
      <c r="D242" s="44"/>
    </row>
    <row r="243" spans="1:4" x14ac:dyDescent="0.15">
      <c r="A243" s="15">
        <v>39797</v>
      </c>
      <c r="B243" s="7">
        <v>1.375</v>
      </c>
      <c r="C243" s="7">
        <f t="shared" ref="C243" si="30">AVERAGE(B241:B243)</f>
        <v>1.8566666666666667</v>
      </c>
      <c r="D243" s="44"/>
    </row>
    <row r="244" spans="1:4" x14ac:dyDescent="0.15">
      <c r="A244" s="15">
        <v>39828</v>
      </c>
      <c r="B244" s="7">
        <v>1.4690000000000001</v>
      </c>
      <c r="D244" s="44"/>
    </row>
    <row r="245" spans="1:4" x14ac:dyDescent="0.15">
      <c r="A245" s="15">
        <v>39859</v>
      </c>
      <c r="B245" s="7">
        <v>1.2589999999999999</v>
      </c>
      <c r="D245" s="44"/>
    </row>
    <row r="246" spans="1:4" x14ac:dyDescent="0.15">
      <c r="A246" s="15">
        <v>39887</v>
      </c>
      <c r="B246" s="7">
        <v>1.268</v>
      </c>
      <c r="C246" s="7">
        <f t="shared" ref="C246" si="31">AVERAGE(B244:B246)</f>
        <v>1.3319999999999999</v>
      </c>
      <c r="D246" s="44"/>
    </row>
    <row r="247" spans="1:4" x14ac:dyDescent="0.15">
      <c r="A247" s="15">
        <v>39918</v>
      </c>
      <c r="B247" s="7">
        <v>1.369</v>
      </c>
      <c r="D247" s="44"/>
    </row>
    <row r="248" spans="1:4" x14ac:dyDescent="0.15">
      <c r="A248" s="15">
        <v>39948</v>
      </c>
      <c r="B248" s="7">
        <v>1.488</v>
      </c>
      <c r="D248" s="44"/>
    </row>
    <row r="249" spans="1:4" x14ac:dyDescent="0.15">
      <c r="A249" s="15">
        <v>39979</v>
      </c>
      <c r="B249" s="7">
        <v>1.8049999999999999</v>
      </c>
      <c r="C249" s="7">
        <f t="shared" ref="C249" si="32">AVERAGE(B247:B249)</f>
        <v>1.554</v>
      </c>
      <c r="D249" s="44"/>
    </row>
    <row r="250" spans="1:4" x14ac:dyDescent="0.15">
      <c r="A250" s="15">
        <v>40009</v>
      </c>
      <c r="B250" s="7">
        <v>1.712</v>
      </c>
      <c r="D250" s="44"/>
    </row>
    <row r="251" spans="1:4" x14ac:dyDescent="0.15">
      <c r="A251" s="15">
        <v>40040</v>
      </c>
      <c r="B251" s="7">
        <v>1.885</v>
      </c>
      <c r="D251" s="44"/>
    </row>
    <row r="252" spans="1:4" x14ac:dyDescent="0.15">
      <c r="A252" s="15">
        <v>40071</v>
      </c>
      <c r="B252" s="7">
        <v>1.7490000000000001</v>
      </c>
      <c r="C252" s="7">
        <f t="shared" ref="C252" si="33">AVERAGE(B250:B252)</f>
        <v>1.782</v>
      </c>
      <c r="D252" s="44"/>
    </row>
    <row r="253" spans="1:4" x14ac:dyDescent="0.15">
      <c r="A253" s="15">
        <v>40101</v>
      </c>
      <c r="B253" s="7">
        <v>1.9419999999999999</v>
      </c>
      <c r="D253" s="44"/>
    </row>
    <row r="254" spans="1:4" x14ac:dyDescent="0.15">
      <c r="A254" s="15">
        <v>40132</v>
      </c>
      <c r="B254" s="7">
        <v>1.986</v>
      </c>
      <c r="D254" s="44"/>
    </row>
    <row r="255" spans="1:4" x14ac:dyDescent="0.15">
      <c r="A255" s="15">
        <v>40162</v>
      </c>
      <c r="B255" s="7">
        <v>1.9790000000000001</v>
      </c>
      <c r="C255" s="7">
        <f t="shared" ref="C255" si="34">AVERAGE(B253:B255)</f>
        <v>1.9690000000000001</v>
      </c>
      <c r="D255" s="44"/>
    </row>
    <row r="256" spans="1:4" x14ac:dyDescent="0.15">
      <c r="A256" s="15">
        <v>40193</v>
      </c>
      <c r="B256" s="7">
        <v>2.052</v>
      </c>
      <c r="D256" s="44"/>
    </row>
    <row r="257" spans="1:4" x14ac:dyDescent="0.15">
      <c r="A257" s="15">
        <v>40224</v>
      </c>
      <c r="B257" s="7">
        <v>1.9890000000000001</v>
      </c>
      <c r="D257" s="44"/>
    </row>
    <row r="258" spans="1:4" x14ac:dyDescent="0.15">
      <c r="A258" s="15">
        <v>40252</v>
      </c>
      <c r="B258" s="7">
        <v>2.1080000000000001</v>
      </c>
      <c r="C258" s="7">
        <f t="shared" ref="C258" si="35">AVERAGE(B256:B258)</f>
        <v>2.049666666666667</v>
      </c>
      <c r="D258" s="44"/>
    </row>
    <row r="259" spans="1:4" x14ac:dyDescent="0.15">
      <c r="A259" s="15">
        <v>40283</v>
      </c>
      <c r="B259" s="7">
        <v>2.2429999999999999</v>
      </c>
      <c r="D259" s="44"/>
    </row>
    <row r="260" spans="1:4" x14ac:dyDescent="0.15">
      <c r="A260" s="15">
        <v>40313</v>
      </c>
      <c r="B260" s="7">
        <v>2.0630000000000002</v>
      </c>
      <c r="D260" s="44"/>
    </row>
    <row r="261" spans="1:4" x14ac:dyDescent="0.15">
      <c r="A261" s="15">
        <v>40344</v>
      </c>
      <c r="B261" s="7">
        <v>2.0579999999999998</v>
      </c>
      <c r="C261" s="7">
        <f t="shared" ref="C261" si="36">AVERAGE(B259:B261)</f>
        <v>2.1213333333333333</v>
      </c>
      <c r="D261" s="44"/>
    </row>
    <row r="262" spans="1:4" x14ac:dyDescent="0.15">
      <c r="A262" s="15">
        <v>40374</v>
      </c>
      <c r="B262" s="7">
        <v>2.0190000000000001</v>
      </c>
      <c r="D262" s="44"/>
    </row>
    <row r="263" spans="1:4" x14ac:dyDescent="0.15">
      <c r="A263" s="15">
        <v>40405</v>
      </c>
      <c r="B263" s="7">
        <v>2.0830000000000002</v>
      </c>
      <c r="D263" s="44"/>
    </row>
    <row r="264" spans="1:4" x14ac:dyDescent="0.15">
      <c r="A264" s="15">
        <v>40436</v>
      </c>
      <c r="B264" s="7">
        <v>2.1139999999999999</v>
      </c>
      <c r="C264" s="7">
        <f t="shared" ref="C264" si="37">AVERAGE(B262:B264)</f>
        <v>2.0720000000000001</v>
      </c>
      <c r="D264" s="44"/>
    </row>
    <row r="265" spans="1:4" x14ac:dyDescent="0.15">
      <c r="A265" s="15">
        <v>40466</v>
      </c>
      <c r="B265" s="7">
        <v>2.2480000000000002</v>
      </c>
      <c r="D265" s="44"/>
    </row>
    <row r="266" spans="1:4" x14ac:dyDescent="0.15">
      <c r="A266" s="15">
        <v>40497</v>
      </c>
      <c r="B266" s="7">
        <v>2.323</v>
      </c>
      <c r="D266" s="44"/>
    </row>
    <row r="267" spans="1:4" x14ac:dyDescent="0.15">
      <c r="A267" s="15">
        <v>40527</v>
      </c>
      <c r="B267" s="7">
        <v>2.4529999999999998</v>
      </c>
      <c r="C267" s="7">
        <f t="shared" ref="C267" si="38">AVERAGE(B265:B267)</f>
        <v>2.341333333333333</v>
      </c>
      <c r="D267" s="44"/>
    </row>
    <row r="268" spans="1:4" x14ac:dyDescent="0.15">
      <c r="A268" s="15">
        <v>40558</v>
      </c>
      <c r="B268" s="7">
        <v>2.6190000000000002</v>
      </c>
      <c r="D268" s="44"/>
    </row>
    <row r="269" spans="1:4" x14ac:dyDescent="0.15">
      <c r="A269" s="15">
        <v>40589</v>
      </c>
      <c r="B269" s="7">
        <v>2.839</v>
      </c>
      <c r="D269" s="44"/>
    </row>
    <row r="270" spans="1:4" x14ac:dyDescent="0.15">
      <c r="A270" s="15">
        <v>40617</v>
      </c>
      <c r="B270" s="7">
        <v>3.125</v>
      </c>
      <c r="C270" s="7">
        <f t="shared" ref="C270" si="39">AVERAGE(B268:B270)</f>
        <v>2.8610000000000002</v>
      </c>
      <c r="D270" s="44"/>
    </row>
    <row r="271" spans="1:4" x14ac:dyDescent="0.15">
      <c r="A271" s="15">
        <v>40648</v>
      </c>
      <c r="B271" s="7">
        <v>3.2669999999999999</v>
      </c>
      <c r="D271" s="44"/>
    </row>
    <row r="272" spans="1:4" x14ac:dyDescent="0.15">
      <c r="A272" s="15">
        <v>40678</v>
      </c>
      <c r="B272" s="7">
        <v>3.085</v>
      </c>
      <c r="D272" s="44"/>
    </row>
    <row r="273" spans="1:4" x14ac:dyDescent="0.15">
      <c r="A273" s="15">
        <v>40709</v>
      </c>
      <c r="B273" s="7">
        <v>3.0459999999999998</v>
      </c>
      <c r="C273" s="7">
        <f t="shared" ref="C273" si="40">AVERAGE(B271:B273)</f>
        <v>3.1326666666666667</v>
      </c>
      <c r="D273" s="44"/>
    </row>
    <row r="274" spans="1:4" x14ac:dyDescent="0.15">
      <c r="A274" s="15">
        <v>40739</v>
      </c>
      <c r="B274" s="7">
        <v>3.1309999999999998</v>
      </c>
      <c r="D274" s="44"/>
    </row>
    <row r="275" spans="1:4" x14ac:dyDescent="0.15">
      <c r="A275" s="15">
        <v>40770</v>
      </c>
      <c r="B275" s="7">
        <v>3.008</v>
      </c>
      <c r="D275" s="44"/>
    </row>
    <row r="276" spans="1:4" x14ac:dyDescent="0.15">
      <c r="A276" s="15">
        <v>40801</v>
      </c>
      <c r="B276" s="7">
        <v>2.948</v>
      </c>
      <c r="C276" s="7">
        <f t="shared" ref="C276" si="41">AVERAGE(B274:B276)</f>
        <v>3.0289999999999999</v>
      </c>
      <c r="D276" s="44"/>
    </row>
    <row r="277" spans="1:4" x14ac:dyDescent="0.15">
      <c r="A277" s="15">
        <v>40831</v>
      </c>
      <c r="B277" s="7">
        <v>2.9660000000000002</v>
      </c>
      <c r="D277" s="44"/>
    </row>
    <row r="278" spans="1:4" x14ac:dyDescent="0.15">
      <c r="A278" s="15">
        <v>40862</v>
      </c>
      <c r="B278" s="7">
        <v>3.0459999999999998</v>
      </c>
      <c r="D278" s="44"/>
    </row>
    <row r="279" spans="1:4" x14ac:dyDescent="0.15">
      <c r="A279" s="15">
        <v>40892</v>
      </c>
      <c r="B279" s="7">
        <v>2.8730000000000002</v>
      </c>
      <c r="C279" s="7">
        <f t="shared" ref="C279" si="42">AVERAGE(B277:B279)</f>
        <v>2.9616666666666673</v>
      </c>
      <c r="D279" s="44"/>
    </row>
    <row r="280" spans="1:4" x14ac:dyDescent="0.15">
      <c r="A280" s="15">
        <v>40923</v>
      </c>
      <c r="B280" s="7">
        <v>3.0870000000000002</v>
      </c>
      <c r="D280" s="44"/>
    </row>
    <row r="281" spans="1:4" x14ac:dyDescent="0.15">
      <c r="A281" s="15">
        <v>40954</v>
      </c>
      <c r="B281" s="7">
        <v>3.2069999999999999</v>
      </c>
      <c r="D281" s="44"/>
    </row>
    <row r="282" spans="1:4" x14ac:dyDescent="0.15">
      <c r="A282" s="15">
        <v>40983</v>
      </c>
      <c r="B282" s="7">
        <v>3.2559999999999998</v>
      </c>
      <c r="C282" s="7">
        <f t="shared" ref="C282" si="43">AVERAGE(B280:B282)</f>
        <v>3.1833333333333336</v>
      </c>
      <c r="D282" s="44"/>
    </row>
    <row r="283" spans="1:4" x14ac:dyDescent="0.15">
      <c r="A283" s="15">
        <v>41014</v>
      </c>
      <c r="B283" s="7">
        <v>3.226</v>
      </c>
      <c r="D283" s="44"/>
    </row>
    <row r="284" spans="1:4" x14ac:dyDescent="0.15">
      <c r="A284" s="15">
        <v>41044</v>
      </c>
      <c r="B284" s="7">
        <v>2.9740000000000002</v>
      </c>
      <c r="D284" s="44"/>
    </row>
    <row r="285" spans="1:4" x14ac:dyDescent="0.15">
      <c r="A285" s="15">
        <v>41075</v>
      </c>
      <c r="B285" s="7">
        <v>2.6779999999999999</v>
      </c>
      <c r="C285" s="7">
        <f t="shared" ref="C285" si="44">AVERAGE(B283:B285)</f>
        <v>2.9593333333333334</v>
      </c>
      <c r="D285" s="44"/>
    </row>
    <row r="286" spans="1:4" x14ac:dyDescent="0.15">
      <c r="A286" s="15">
        <v>41105</v>
      </c>
      <c r="B286" s="7">
        <v>2.8919999999999999</v>
      </c>
      <c r="D286" s="44"/>
    </row>
    <row r="287" spans="1:4" x14ac:dyDescent="0.15">
      <c r="A287" s="15">
        <v>41136</v>
      </c>
      <c r="B287" s="7">
        <v>3.1560000000000001</v>
      </c>
      <c r="D287" s="44"/>
    </row>
    <row r="288" spans="1:4" x14ac:dyDescent="0.15">
      <c r="A288" s="15">
        <v>41167</v>
      </c>
      <c r="B288" s="7">
        <v>3.1909999999999998</v>
      </c>
      <c r="C288" s="7">
        <f t="shared" ref="C288" si="45">AVERAGE(B286:B288)</f>
        <v>3.0796666666666668</v>
      </c>
      <c r="D288" s="44"/>
    </row>
    <row r="289" spans="1:4" x14ac:dyDescent="0.15">
      <c r="A289" s="15">
        <v>41197</v>
      </c>
      <c r="B289" s="7">
        <v>3.1110000000000002</v>
      </c>
      <c r="D289" s="44"/>
    </row>
    <row r="290" spans="1:4" x14ac:dyDescent="0.15">
      <c r="A290" s="15">
        <v>41228</v>
      </c>
      <c r="B290" s="7">
        <v>2.96</v>
      </c>
      <c r="D290" s="44"/>
    </row>
    <row r="291" spans="1:4" x14ac:dyDescent="0.15">
      <c r="A291" s="15">
        <v>41258</v>
      </c>
      <c r="B291" s="7">
        <v>2.94</v>
      </c>
      <c r="C291" s="7">
        <f t="shared" ref="C291" si="46">AVERAGE(B289:B291)</f>
        <v>3.0036666666666663</v>
      </c>
      <c r="D291" s="44"/>
    </row>
    <row r="292" spans="1:4" x14ac:dyDescent="0.15">
      <c r="A292" s="15">
        <v>41289</v>
      </c>
      <c r="B292" s="7">
        <v>3.0910000000000002</v>
      </c>
      <c r="D292" s="44"/>
    </row>
    <row r="293" spans="1:4" x14ac:dyDescent="0.15">
      <c r="A293" s="15">
        <v>41320</v>
      </c>
      <c r="B293" s="7">
        <v>3.218</v>
      </c>
      <c r="D293" s="44"/>
    </row>
    <row r="294" spans="1:4" x14ac:dyDescent="0.15">
      <c r="A294" s="15">
        <v>41348</v>
      </c>
      <c r="B294" s="7">
        <v>2.9689999999999999</v>
      </c>
      <c r="C294" s="7">
        <f t="shared" ref="C294" si="47">AVERAGE(B292:B294)</f>
        <v>3.0926666666666667</v>
      </c>
      <c r="D294" s="44"/>
    </row>
    <row r="295" spans="1:4" x14ac:dyDescent="0.15">
      <c r="A295" s="15">
        <v>41379</v>
      </c>
      <c r="B295" s="7">
        <v>2.8079999999999998</v>
      </c>
      <c r="D295" s="44"/>
    </row>
    <row r="296" spans="1:4" x14ac:dyDescent="0.15">
      <c r="A296" s="15">
        <v>41409</v>
      </c>
      <c r="B296" s="7">
        <v>2.7250000000000001</v>
      </c>
      <c r="D296" s="44"/>
    </row>
    <row r="297" spans="1:4" x14ac:dyDescent="0.15">
      <c r="A297" s="15">
        <v>41440</v>
      </c>
      <c r="B297" s="7">
        <v>2.7690000000000001</v>
      </c>
      <c r="C297" s="7">
        <f t="shared" ref="C297" si="48">AVERAGE(B295:B297)</f>
        <v>2.7673333333333332</v>
      </c>
      <c r="D297" s="44"/>
    </row>
    <row r="298" spans="1:4" x14ac:dyDescent="0.15">
      <c r="A298" s="15">
        <v>41470</v>
      </c>
      <c r="B298" s="7">
        <v>2.8940000000000001</v>
      </c>
      <c r="D298" s="44"/>
    </row>
    <row r="299" spans="1:4" x14ac:dyDescent="0.15">
      <c r="A299" s="15">
        <v>41501</v>
      </c>
      <c r="B299" s="7">
        <v>3.0030000000000001</v>
      </c>
      <c r="D299" s="44"/>
    </row>
    <row r="300" spans="1:4" x14ac:dyDescent="0.15">
      <c r="A300" s="15">
        <v>41532</v>
      </c>
      <c r="B300" s="7">
        <v>2.9340000000000002</v>
      </c>
      <c r="C300" s="7">
        <f t="shared" ref="C300" si="49">AVERAGE(B298:B300)</f>
        <v>2.9436666666666667</v>
      </c>
      <c r="D300" s="44"/>
    </row>
    <row r="301" spans="1:4" x14ac:dyDescent="0.15">
      <c r="A301" s="15">
        <v>41562</v>
      </c>
      <c r="B301" s="7">
        <v>2.8849999999999998</v>
      </c>
      <c r="D301" s="44"/>
    </row>
    <row r="302" spans="1:4" x14ac:dyDescent="0.15">
      <c r="A302" s="15">
        <v>41593</v>
      </c>
      <c r="B302" s="7">
        <v>2.83</v>
      </c>
      <c r="D302" s="44"/>
    </row>
    <row r="303" spans="1:4" x14ac:dyDescent="0.15">
      <c r="A303" s="15">
        <v>41623</v>
      </c>
      <c r="B303" s="7">
        <v>2.9550000000000001</v>
      </c>
      <c r="C303" s="7">
        <f t="shared" ref="C303" si="50">AVERAGE(B301:B303)</f>
        <v>2.89</v>
      </c>
      <c r="D303" s="44"/>
    </row>
    <row r="304" spans="1:4" x14ac:dyDescent="0.15">
      <c r="A304" s="15">
        <v>41654</v>
      </c>
      <c r="B304" s="7">
        <v>2.9209999999999998</v>
      </c>
      <c r="D304" s="44"/>
    </row>
    <row r="305" spans="1:4" x14ac:dyDescent="0.15">
      <c r="A305" s="15">
        <v>41685</v>
      </c>
      <c r="B305" s="7">
        <v>2.9649999999999999</v>
      </c>
      <c r="D305" s="44"/>
    </row>
    <row r="306" spans="1:4" x14ac:dyDescent="0.15">
      <c r="A306" s="15">
        <v>41713</v>
      </c>
      <c r="B306" s="7">
        <v>2.89</v>
      </c>
      <c r="C306" s="7">
        <f t="shared" ref="C306" si="51">AVERAGE(B304:B306)</f>
        <v>2.9253333333333331</v>
      </c>
      <c r="D306" s="44"/>
    </row>
    <row r="307" spans="1:4" x14ac:dyDescent="0.15">
      <c r="A307" s="15">
        <v>41744</v>
      </c>
      <c r="B307" s="7">
        <v>2.8879999999999999</v>
      </c>
      <c r="D307" s="44"/>
    </row>
    <row r="308" spans="1:4" x14ac:dyDescent="0.15">
      <c r="A308" s="15">
        <v>41774</v>
      </c>
      <c r="B308" s="7">
        <v>2.8679999999999999</v>
      </c>
      <c r="D308" s="44"/>
    </row>
    <row r="309" spans="1:4" x14ac:dyDescent="0.15">
      <c r="A309" s="15">
        <v>41805</v>
      </c>
      <c r="B309" s="7">
        <v>2.883</v>
      </c>
      <c r="C309" s="7">
        <f t="shared" ref="C309" si="52">AVERAGE(B307:B309)</f>
        <v>2.8796666666666666</v>
      </c>
      <c r="D309" s="44"/>
    </row>
    <row r="310" spans="1:4" x14ac:dyDescent="0.15">
      <c r="A310" s="15">
        <v>41835</v>
      </c>
      <c r="B310" s="7">
        <v>2.8170000000000002</v>
      </c>
      <c r="D310" s="44"/>
    </row>
    <row r="311" spans="1:4" x14ac:dyDescent="0.15">
      <c r="A311" s="15">
        <v>41866</v>
      </c>
      <c r="B311" s="7">
        <v>2.839</v>
      </c>
      <c r="D311" s="44"/>
    </row>
    <row r="312" spans="1:4" x14ac:dyDescent="0.15">
      <c r="A312" s="15">
        <v>41897</v>
      </c>
      <c r="B312" s="7">
        <v>2.7290000000000001</v>
      </c>
      <c r="C312" s="7">
        <f t="shared" ref="C312" si="53">AVERAGE(B310:B312)</f>
        <v>2.7950000000000004</v>
      </c>
      <c r="D312" s="44"/>
    </row>
    <row r="313" spans="1:4" x14ac:dyDescent="0.15">
      <c r="A313" s="15">
        <v>41927</v>
      </c>
      <c r="B313" s="7">
        <v>2.46</v>
      </c>
      <c r="D313" s="44"/>
    </row>
    <row r="314" spans="1:4" x14ac:dyDescent="0.15">
      <c r="A314" s="15">
        <v>41958</v>
      </c>
      <c r="B314" s="7">
        <v>2.2970000000000002</v>
      </c>
      <c r="D314" s="44"/>
    </row>
    <row r="315" spans="1:4" x14ac:dyDescent="0.15">
      <c r="A315" s="15">
        <v>41988</v>
      </c>
      <c r="B315" s="7">
        <v>1.8009999999999999</v>
      </c>
      <c r="C315" s="7">
        <f t="shared" ref="C315" si="54">AVERAGE(B313:B315)</f>
        <v>2.1859999999999999</v>
      </c>
      <c r="D315" s="44"/>
    </row>
    <row r="316" spans="1:4" x14ac:dyDescent="0.15">
      <c r="A316" s="15">
        <v>42019</v>
      </c>
      <c r="B316" s="7">
        <v>1.496</v>
      </c>
      <c r="D316" s="44"/>
    </row>
    <row r="317" spans="1:4" x14ac:dyDescent="0.15">
      <c r="A317" s="15">
        <v>42050</v>
      </c>
      <c r="B317" s="7">
        <v>1.766</v>
      </c>
      <c r="D317" s="44"/>
    </row>
    <row r="318" spans="1:4" x14ac:dyDescent="0.15">
      <c r="A318" s="15">
        <v>42078</v>
      </c>
      <c r="B318" s="7">
        <v>1.629</v>
      </c>
      <c r="C318" s="7">
        <f t="shared" ref="C318" si="55">AVERAGE(B316:B318)</f>
        <v>1.6303333333333334</v>
      </c>
      <c r="D318" s="44"/>
    </row>
    <row r="319" spans="1:4" x14ac:dyDescent="0.15">
      <c r="A319" s="15">
        <v>42109</v>
      </c>
      <c r="B319" s="7">
        <v>1.702</v>
      </c>
      <c r="D319" s="44"/>
    </row>
    <row r="320" spans="1:4" x14ac:dyDescent="0.15">
      <c r="A320" s="15">
        <v>42139</v>
      </c>
      <c r="B320" s="7">
        <v>1.849</v>
      </c>
      <c r="D320" s="44"/>
    </row>
    <row r="321" spans="1:4" x14ac:dyDescent="0.15">
      <c r="A321" s="15">
        <v>42170</v>
      </c>
      <c r="B321" s="7">
        <v>1.732</v>
      </c>
      <c r="C321" s="7">
        <f t="shared" ref="C321" si="56">AVERAGE(B319:B321)</f>
        <v>1.7610000000000001</v>
      </c>
      <c r="D321" s="44"/>
    </row>
    <row r="322" spans="1:4" x14ac:dyDescent="0.15">
      <c r="A322" s="15">
        <v>42200</v>
      </c>
      <c r="B322" s="7">
        <v>1.5489999999999999</v>
      </c>
      <c r="D322" s="44"/>
    </row>
    <row r="323" spans="1:4" x14ac:dyDescent="0.15">
      <c r="A323" s="15">
        <v>42231</v>
      </c>
      <c r="B323" s="7">
        <v>1.389</v>
      </c>
      <c r="D323" s="44"/>
    </row>
    <row r="324" spans="1:4" x14ac:dyDescent="0.15">
      <c r="A324" s="15">
        <v>42262</v>
      </c>
      <c r="B324" s="7">
        <v>1.395</v>
      </c>
      <c r="C324" s="7">
        <f t="shared" ref="C324" si="57">AVERAGE(B322:B324)</f>
        <v>1.4443333333333335</v>
      </c>
      <c r="D324" s="44"/>
    </row>
    <row r="325" spans="1:4" x14ac:dyDescent="0.15">
      <c r="A325" s="15">
        <v>42292</v>
      </c>
      <c r="B325" s="7">
        <v>1.391</v>
      </c>
      <c r="D325" s="44"/>
    </row>
    <row r="326" spans="1:4" x14ac:dyDescent="0.15">
      <c r="A326" s="15">
        <v>42323</v>
      </c>
      <c r="B326" s="7">
        <v>1.3260000000000001</v>
      </c>
      <c r="D326" s="44"/>
    </row>
    <row r="327" spans="1:4" x14ac:dyDescent="0.15">
      <c r="A327" s="15">
        <v>42353</v>
      </c>
      <c r="B327" s="7">
        <v>1.0820000000000001</v>
      </c>
      <c r="C327" s="7">
        <f t="shared" ref="C327" si="58">AVERAGE(B325:B327)</f>
        <v>1.2663333333333335</v>
      </c>
      <c r="D327" s="44"/>
    </row>
    <row r="328" spans="1:4" x14ac:dyDescent="0.15">
      <c r="A328" s="15">
        <v>42384</v>
      </c>
      <c r="B328" s="7">
        <v>0.93</v>
      </c>
      <c r="D328" s="44"/>
    </row>
    <row r="329" spans="1:4" x14ac:dyDescent="0.15">
      <c r="A329" s="15">
        <v>42415</v>
      </c>
      <c r="B329" s="7">
        <v>0.97299999999999998</v>
      </c>
      <c r="D329" s="44"/>
    </row>
    <row r="330" spans="1:4" x14ac:dyDescent="0.15">
      <c r="A330" s="15">
        <v>42444</v>
      </c>
      <c r="B330" s="7">
        <v>1.069</v>
      </c>
      <c r="C330" s="7">
        <f t="shared" ref="C330" si="59">AVERAGE(B328:B330)</f>
        <v>0.9906666666666667</v>
      </c>
      <c r="D330" s="44"/>
    </row>
    <row r="331" spans="1:4" x14ac:dyDescent="0.15">
      <c r="A331" s="15">
        <v>42475</v>
      </c>
      <c r="B331" s="7">
        <v>1.147</v>
      </c>
      <c r="D331" s="44"/>
    </row>
    <row r="332" spans="1:4" x14ac:dyDescent="0.15">
      <c r="A332" s="15">
        <v>42505</v>
      </c>
      <c r="B332" s="7">
        <v>1.2989999999999999</v>
      </c>
      <c r="D332" s="44"/>
    </row>
    <row r="333" spans="1:4" x14ac:dyDescent="0.15">
      <c r="A333" s="15">
        <v>42536</v>
      </c>
      <c r="B333" s="7">
        <v>1.3819999999999999</v>
      </c>
      <c r="C333" s="7">
        <f t="shared" ref="C333" si="60">AVERAGE(B331:B333)</f>
        <v>1.2759999999999998</v>
      </c>
      <c r="D333" s="44"/>
    </row>
    <row r="334" spans="1:4" x14ac:dyDescent="0.15">
      <c r="A334" s="15">
        <v>42566</v>
      </c>
      <c r="B334" s="7">
        <v>1.272</v>
      </c>
      <c r="D334" s="44"/>
    </row>
    <row r="335" spans="1:4" x14ac:dyDescent="0.15">
      <c r="A335" s="15">
        <v>42597</v>
      </c>
      <c r="B335" s="7">
        <v>1.2949999999999999</v>
      </c>
      <c r="D335" s="44"/>
    </row>
    <row r="336" spans="1:4" x14ac:dyDescent="0.15">
      <c r="A336" s="15">
        <v>42628</v>
      </c>
      <c r="B336" s="7">
        <v>1.319</v>
      </c>
      <c r="C336" s="7">
        <f t="shared" ref="C336" si="61">AVERAGE(B334:B336)</f>
        <v>1.2953333333333334</v>
      </c>
      <c r="D336" s="44"/>
    </row>
    <row r="337" spans="1:4" x14ac:dyDescent="0.15">
      <c r="A337" s="15">
        <v>42658</v>
      </c>
      <c r="B337" s="7">
        <v>1.4570000000000001</v>
      </c>
      <c r="D337" s="44"/>
    </row>
    <row r="338" spans="1:4" x14ac:dyDescent="0.15">
      <c r="A338" s="15">
        <v>42689</v>
      </c>
      <c r="B338" s="7">
        <v>1.3560000000000001</v>
      </c>
      <c r="D338" s="44"/>
    </row>
    <row r="339" spans="1:4" x14ac:dyDescent="0.15">
      <c r="A339" s="15">
        <v>42719</v>
      </c>
      <c r="B339" s="7">
        <v>1.4910000000000001</v>
      </c>
      <c r="C339" s="7">
        <f t="shared" ref="C339" si="62">AVERAGE(B337:B339)</f>
        <v>1.4346666666666668</v>
      </c>
      <c r="D339" s="44"/>
    </row>
    <row r="340" spans="1:4" x14ac:dyDescent="0.15">
      <c r="A340" s="15">
        <v>42750</v>
      </c>
      <c r="B340" s="7">
        <v>1.514</v>
      </c>
      <c r="D340" s="44"/>
    </row>
    <row r="341" spans="1:4" x14ac:dyDescent="0.15">
      <c r="A341" s="15">
        <v>42781</v>
      </c>
      <c r="B341" s="7">
        <v>1.5469999999999999</v>
      </c>
      <c r="D341" s="44"/>
    </row>
    <row r="342" spans="1:4" x14ac:dyDescent="0.15">
      <c r="A342" s="15">
        <v>42809</v>
      </c>
      <c r="B342" s="7">
        <v>1.4450000000000001</v>
      </c>
      <c r="C342" s="7">
        <f t="shared" ref="C342" si="63">AVERAGE(B340:B342)</f>
        <v>1.502</v>
      </c>
      <c r="D342" s="44"/>
    </row>
    <row r="343" spans="1:4" x14ac:dyDescent="0.15">
      <c r="A343" s="15">
        <v>42840</v>
      </c>
      <c r="B343" s="7">
        <v>1.51</v>
      </c>
      <c r="D343" s="44"/>
    </row>
    <row r="344" spans="1:4" x14ac:dyDescent="0.15">
      <c r="A344" s="15">
        <v>42870</v>
      </c>
      <c r="B344" s="7">
        <v>1.4119999999999999</v>
      </c>
      <c r="D344" s="44"/>
    </row>
    <row r="345" spans="1:4" x14ac:dyDescent="0.15">
      <c r="A345" s="15">
        <v>42901</v>
      </c>
      <c r="B345" s="7">
        <v>1.2949999999999999</v>
      </c>
      <c r="C345" s="7">
        <f t="shared" ref="C345" si="64">AVERAGE(B343:B345)</f>
        <v>1.4056666666666666</v>
      </c>
      <c r="D345" s="44"/>
    </row>
    <row r="346" spans="1:4" x14ac:dyDescent="0.15">
      <c r="A346" s="15">
        <v>42931</v>
      </c>
      <c r="B346" s="7">
        <v>1.417</v>
      </c>
    </row>
    <row r="347" spans="1:4" x14ac:dyDescent="0.15">
      <c r="A347" s="15">
        <v>42962</v>
      </c>
      <c r="B347" s="7">
        <v>1.5609999999999999</v>
      </c>
    </row>
    <row r="348" spans="1:4" x14ac:dyDescent="0.15">
      <c r="A348" s="15">
        <v>42993</v>
      </c>
      <c r="B348" s="7">
        <v>1.8</v>
      </c>
      <c r="C348" s="7">
        <f t="shared" ref="C348" si="65">AVERAGE(B346:B348)</f>
        <v>1.5926666666666665</v>
      </c>
    </row>
    <row r="349" spans="1:4" x14ac:dyDescent="0.15">
      <c r="A349" s="15">
        <v>43023</v>
      </c>
      <c r="B349" s="7">
        <v>1.659</v>
      </c>
    </row>
    <row r="350" spans="1:4" x14ac:dyDescent="0.15">
      <c r="A350" s="15">
        <v>43054</v>
      </c>
      <c r="B350" s="7">
        <v>1.76</v>
      </c>
    </row>
    <row r="351" spans="1:4" x14ac:dyDescent="0.15">
      <c r="A351" s="15">
        <v>43084</v>
      </c>
      <c r="B351" s="7">
        <v>1.8169999999999999</v>
      </c>
      <c r="C351" s="7">
        <f t="shared" ref="C351" si="66">AVERAGE(B349:B351)</f>
        <v>1.7453333333333332</v>
      </c>
    </row>
    <row r="352" spans="1:4" x14ac:dyDescent="0.15">
      <c r="A352" s="15">
        <v>43115</v>
      </c>
      <c r="B352" s="7">
        <v>1.952</v>
      </c>
    </row>
    <row r="353" spans="1:3" x14ac:dyDescent="0.15">
      <c r="A353" s="15">
        <v>43146</v>
      </c>
      <c r="B353" s="7">
        <v>1.849</v>
      </c>
    </row>
    <row r="354" spans="1:3" x14ac:dyDescent="0.15">
      <c r="A354" s="15">
        <v>43174</v>
      </c>
      <c r="B354" s="7">
        <v>1.8580000000000001</v>
      </c>
      <c r="C354" s="7">
        <f t="shared" ref="C354" si="67">AVERAGE(B352:B354)</f>
        <v>1.8863333333333336</v>
      </c>
    </row>
    <row r="355" spans="1:3" x14ac:dyDescent="0.15">
      <c r="A355" s="15">
        <v>43205</v>
      </c>
      <c r="B355" s="7">
        <v>2.0150000000000001</v>
      </c>
    </row>
    <row r="356" spans="1:3" x14ac:dyDescent="0.15">
      <c r="A356" s="15">
        <v>43235</v>
      </c>
      <c r="B356" s="7">
        <v>2.1549999999999998</v>
      </c>
    </row>
    <row r="357" spans="1:3" x14ac:dyDescent="0.15">
      <c r="A357" s="15">
        <v>43266</v>
      </c>
      <c r="B357" s="7">
        <v>2.09</v>
      </c>
      <c r="C357" s="7">
        <f t="shared" ref="C357" si="68">AVERAGE(B355:B357)</f>
        <v>2.0866666666666664</v>
      </c>
    </row>
    <row r="358" spans="1:3" x14ac:dyDescent="0.15">
      <c r="A358" s="15">
        <v>43296</v>
      </c>
      <c r="B358" s="7">
        <v>2.0979999999999999</v>
      </c>
    </row>
    <row r="359" spans="1:3" x14ac:dyDescent="0.15">
      <c r="A359" s="15">
        <v>43327</v>
      </c>
      <c r="B359" s="7">
        <v>2.1179999999999999</v>
      </c>
    </row>
    <row r="360" spans="1:3" x14ac:dyDescent="0.15">
      <c r="A360" s="15">
        <v>43358</v>
      </c>
      <c r="B360" s="7">
        <v>2.1890000000000001</v>
      </c>
      <c r="C360" s="7">
        <f t="shared" ref="C360" si="69">AVERAGE(B358:B360)</f>
        <v>2.1349999999999998</v>
      </c>
    </row>
    <row r="361" spans="1:3" x14ac:dyDescent="0.15">
      <c r="A361" s="15">
        <v>43388</v>
      </c>
      <c r="B361" s="7">
        <v>2.2490000000000001</v>
      </c>
    </row>
    <row r="362" spans="1:3" x14ac:dyDescent="0.15">
      <c r="A362" s="15">
        <v>43419</v>
      </c>
      <c r="B362" s="7">
        <v>1.9450000000000001</v>
      </c>
    </row>
    <row r="363" spans="1:3" x14ac:dyDescent="0.15">
      <c r="A363" s="15">
        <v>43449</v>
      </c>
      <c r="B363" s="7">
        <v>1.696</v>
      </c>
      <c r="C363" s="7">
        <f t="shared" ref="C363" si="70">AVERAGE(B361:B363)</f>
        <v>1.9633333333333332</v>
      </c>
    </row>
    <row r="364" spans="1:3" x14ac:dyDescent="0.15">
      <c r="A364" s="15">
        <v>43480</v>
      </c>
      <c r="B364" s="7">
        <v>1.784</v>
      </c>
    </row>
    <row r="365" spans="1:3" x14ac:dyDescent="0.15">
      <c r="A365" s="15">
        <v>43511</v>
      </c>
      <c r="B365" s="7">
        <v>1.9139999999999999</v>
      </c>
    </row>
    <row r="366" spans="1:3" x14ac:dyDescent="0.15">
      <c r="A366" s="15">
        <v>43539</v>
      </c>
      <c r="B366" s="7">
        <v>1.9019999999999999</v>
      </c>
      <c r="C366" s="7">
        <f t="shared" ref="C366" si="71">AVERAGE(B364:B366)</f>
        <v>1.8666666666666665</v>
      </c>
    </row>
    <row r="367" spans="1:3" x14ac:dyDescent="0.15">
      <c r="A367" s="15">
        <v>43570</v>
      </c>
      <c r="B367" s="7">
        <v>1.9770000000000001</v>
      </c>
    </row>
    <row r="368" spans="1:3" x14ac:dyDescent="0.15">
      <c r="A368" s="15">
        <v>43600</v>
      </c>
      <c r="B368" s="7">
        <v>1.972</v>
      </c>
    </row>
    <row r="369" spans="1:3" x14ac:dyDescent="0.15">
      <c r="A369" s="15">
        <v>43631</v>
      </c>
      <c r="B369" s="7">
        <v>1.8169999999999999</v>
      </c>
      <c r="C369" s="7">
        <f t="shared" ref="C369" si="72">AVERAGE(B367:B369)</f>
        <v>1.9219999999999999</v>
      </c>
    </row>
    <row r="370" spans="1:3" x14ac:dyDescent="0.15">
      <c r="A370" s="15">
        <v>43661</v>
      </c>
      <c r="B370" s="7">
        <v>1.913</v>
      </c>
    </row>
    <row r="371" spans="1:3" x14ac:dyDescent="0.15">
      <c r="A371" s="15">
        <v>43692</v>
      </c>
      <c r="B371" s="7">
        <v>1.8</v>
      </c>
    </row>
    <row r="372" spans="1:3" x14ac:dyDescent="0.15">
      <c r="A372" s="15">
        <v>43723</v>
      </c>
      <c r="B372" s="7">
        <v>1.8740000000000001</v>
      </c>
      <c r="C372" s="7">
        <f t="shared" ref="C372" si="73">AVERAGE(B370:B372)</f>
        <v>1.8623333333333332</v>
      </c>
    </row>
    <row r="373" spans="1:3" x14ac:dyDescent="0.15">
      <c r="A373" s="15">
        <v>43753</v>
      </c>
      <c r="B373" s="7">
        <v>1.861</v>
      </c>
    </row>
    <row r="374" spans="1:3" x14ac:dyDescent="0.15">
      <c r="A374" s="15">
        <v>43784</v>
      </c>
      <c r="B374" s="7">
        <v>1.8240000000000001</v>
      </c>
    </row>
    <row r="375" spans="1:3" x14ac:dyDescent="0.15">
      <c r="A375" s="15">
        <v>43814</v>
      </c>
      <c r="B375" s="7">
        <v>1.893</v>
      </c>
      <c r="C375" s="7">
        <f t="shared" ref="C375" si="74">AVERAGE(B373:B375)</f>
        <v>1.8593333333333335</v>
      </c>
    </row>
    <row r="376" spans="1:3" x14ac:dyDescent="0.15">
      <c r="A376" s="15">
        <v>43845</v>
      </c>
      <c r="B376" s="7">
        <v>1.77</v>
      </c>
    </row>
    <row r="377" spans="1:3" x14ac:dyDescent="0.15">
      <c r="A377" s="15">
        <v>43876</v>
      </c>
      <c r="B377" s="7">
        <v>1.5089999999999999</v>
      </c>
    </row>
    <row r="378" spans="1:3" x14ac:dyDescent="0.15">
      <c r="A378" s="15">
        <v>43905</v>
      </c>
      <c r="B378" s="7">
        <v>0.95299999999999996</v>
      </c>
      <c r="C378" s="7">
        <f t="shared" ref="C378" si="75">AVERAGE(B376:B378)</f>
        <v>1.4106666666666667</v>
      </c>
    </row>
    <row r="379" spans="1:3" x14ac:dyDescent="0.15">
      <c r="A379" s="15">
        <v>43936</v>
      </c>
      <c r="B379" s="7">
        <v>0.60599999999999998</v>
      </c>
    </row>
    <row r="380" spans="1:3" x14ac:dyDescent="0.15">
      <c r="A380" s="15">
        <v>43966</v>
      </c>
      <c r="B380" s="7">
        <v>0.68600000000000005</v>
      </c>
    </row>
    <row r="381" spans="1:3" x14ac:dyDescent="0.15">
      <c r="A381" s="15">
        <v>43997</v>
      </c>
      <c r="B381" s="7">
        <v>0.98299999999999998</v>
      </c>
      <c r="C381" s="7">
        <f t="shared" ref="C381" si="76">AVERAGE(B379:B381)</f>
        <v>0.7583333333333333</v>
      </c>
    </row>
    <row r="382" spans="1:3" x14ac:dyDescent="0.15">
      <c r="A382" s="15">
        <v>44027</v>
      </c>
      <c r="B382" s="7">
        <v>1.0840000000000001</v>
      </c>
    </row>
    <row r="383" spans="1:3" x14ac:dyDescent="0.15">
      <c r="A383" s="15">
        <v>44058</v>
      </c>
      <c r="B383" s="7">
        <v>1.1120000000000001</v>
      </c>
    </row>
    <row r="384" spans="1:3" x14ac:dyDescent="0.15">
      <c r="A384" s="15">
        <v>44089</v>
      </c>
      <c r="B384" s="7">
        <v>1.006</v>
      </c>
      <c r="C384" s="7">
        <f t="shared" ref="C384" si="77">AVERAGE(B382:B384)</f>
        <v>1.0673333333333332</v>
      </c>
    </row>
    <row r="385" spans="1:3" x14ac:dyDescent="0.15">
      <c r="A385" s="15">
        <v>44119</v>
      </c>
      <c r="B385" s="7">
        <v>1.0469999999999999</v>
      </c>
    </row>
    <row r="386" spans="1:3" x14ac:dyDescent="0.15">
      <c r="A386" s="15">
        <v>44150</v>
      </c>
      <c r="B386" s="7">
        <v>1.133</v>
      </c>
    </row>
    <row r="387" spans="1:3" x14ac:dyDescent="0.15">
      <c r="A387" s="15">
        <v>44180</v>
      </c>
      <c r="B387" s="7">
        <v>1.3240000000000001</v>
      </c>
      <c r="C387" s="7">
        <f t="shared" ref="C387" si="78">AVERAGE(B385:B387)</f>
        <v>1.1679999999999999</v>
      </c>
    </row>
    <row r="388" spans="1:3" x14ac:dyDescent="0.15">
      <c r="A388" s="15">
        <v>44211</v>
      </c>
      <c r="B388" s="7">
        <v>1.42</v>
      </c>
    </row>
    <row r="389" spans="1:3" x14ac:dyDescent="0.15">
      <c r="A389" s="15">
        <v>44242</v>
      </c>
      <c r="B389" s="7">
        <v>1.601</v>
      </c>
    </row>
    <row r="390" spans="1:3" x14ac:dyDescent="0.15">
      <c r="A390" s="15">
        <v>44270</v>
      </c>
      <c r="B390" s="7">
        <v>1.661</v>
      </c>
      <c r="C390" s="7">
        <f t="shared" ref="C390" si="79">AVERAGE(B388:B390)</f>
        <v>1.5606666666666669</v>
      </c>
    </row>
    <row r="391" spans="1:3" x14ac:dyDescent="0.15">
      <c r="A391" s="15">
        <v>44301</v>
      </c>
      <c r="B391" s="7">
        <v>1.669</v>
      </c>
    </row>
    <row r="392" spans="1:3" x14ac:dyDescent="0.15">
      <c r="A392" s="15">
        <v>44331</v>
      </c>
      <c r="B392" s="7">
        <v>1.752</v>
      </c>
    </row>
    <row r="393" spans="1:3" x14ac:dyDescent="0.15">
      <c r="A393" s="15">
        <v>44362</v>
      </c>
      <c r="B393" s="7">
        <v>1.857</v>
      </c>
      <c r="C393" s="7">
        <f t="shared" ref="C393" si="80">AVERAGE(B391:B393)</f>
        <v>1.7593333333333334</v>
      </c>
    </row>
    <row r="394" spans="1:3" x14ac:dyDescent="0.15">
      <c r="A394" s="15">
        <v>44392</v>
      </c>
      <c r="B394" s="7">
        <v>1.887</v>
      </c>
    </row>
    <row r="395" spans="1:3" x14ac:dyDescent="0.15">
      <c r="A395" s="15">
        <v>44423</v>
      </c>
      <c r="B395" s="7">
        <v>1.8169999999999999</v>
      </c>
    </row>
    <row r="396" spans="1:3" x14ac:dyDescent="0.15">
      <c r="A396" s="15">
        <v>44454</v>
      </c>
      <c r="B396" s="7">
        <v>2.0030000000000001</v>
      </c>
      <c r="C396" s="7">
        <f t="shared" ref="C396" si="81">AVERAGE(B394:B396)</f>
        <v>1.9023333333333332</v>
      </c>
    </row>
    <row r="397" spans="1:3" x14ac:dyDescent="0.15">
      <c r="A397" s="15">
        <v>44484</v>
      </c>
      <c r="B397" s="7">
        <v>2.2959999999999998</v>
      </c>
    </row>
    <row r="398" spans="1:3" x14ac:dyDescent="0.15">
      <c r="A398" s="15">
        <v>44515</v>
      </c>
      <c r="B398" s="7">
        <v>2.1930000000000001</v>
      </c>
    </row>
    <row r="399" spans="1:3" x14ac:dyDescent="0.15">
      <c r="A399" s="15">
        <v>44545</v>
      </c>
      <c r="B399" s="7">
        <v>2.0950000000000002</v>
      </c>
      <c r="C399" s="7">
        <f t="shared" ref="C399" si="82">AVERAGE(B397:B399)</f>
        <v>2.1946666666666665</v>
      </c>
    </row>
    <row r="400" spans="1:3" x14ac:dyDescent="0.15">
      <c r="A400" s="15">
        <v>44576</v>
      </c>
      <c r="B400" s="7">
        <v>2.4460000000000002</v>
      </c>
    </row>
    <row r="401" spans="1:3" x14ac:dyDescent="0.15">
      <c r="A401" s="15">
        <v>44607</v>
      </c>
      <c r="B401" s="7">
        <v>2.6819999999999999</v>
      </c>
    </row>
    <row r="402" spans="1:3" x14ac:dyDescent="0.15">
      <c r="A402" s="15">
        <v>44635</v>
      </c>
      <c r="B402" s="7">
        <v>3.4950000000000001</v>
      </c>
      <c r="C402" s="7">
        <f>AVERAGE(B400:B402)</f>
        <v>2.8743333333333339</v>
      </c>
    </row>
    <row r="403" spans="1:3" x14ac:dyDescent="0.15">
      <c r="A403" s="15">
        <v>44666</v>
      </c>
      <c r="B403" s="7">
        <v>3.9140000000000001</v>
      </c>
    </row>
    <row r="404" spans="1:3" x14ac:dyDescent="0.15">
      <c r="A404" s="15">
        <v>44696</v>
      </c>
      <c r="B404" s="7">
        <v>3.9020000000000001</v>
      </c>
    </row>
    <row r="405" spans="1:3" x14ac:dyDescent="0.15">
      <c r="A405" s="15">
        <v>44727</v>
      </c>
      <c r="B405" s="7">
        <v>4.12</v>
      </c>
      <c r="C405" s="7">
        <f t="shared" ref="C405" si="83">AVERAGE(B403:B405)</f>
        <v>3.9786666666666668</v>
      </c>
    </row>
    <row r="406" spans="1:3" x14ac:dyDescent="0.15">
      <c r="A406" s="15">
        <v>44757</v>
      </c>
      <c r="B406" s="7">
        <v>3.4780000000000002</v>
      </c>
    </row>
    <row r="407" spans="1:3" x14ac:dyDescent="0.15">
      <c r="A407" s="15">
        <v>44788</v>
      </c>
      <c r="B407" s="7">
        <v>3.339</v>
      </c>
    </row>
    <row r="408" spans="1:3" x14ac:dyDescent="0.15">
      <c r="A408" s="15">
        <v>44819</v>
      </c>
      <c r="B408" s="7">
        <v>3.262</v>
      </c>
      <c r="C408" s="7">
        <f>AVERAGE(B406:B408)</f>
        <v>3.359666666666667</v>
      </c>
    </row>
    <row r="409" spans="1:3" x14ac:dyDescent="0.15">
      <c r="A409" s="15">
        <v>44849</v>
      </c>
      <c r="B409" s="7">
        <v>3.7149999999999999</v>
      </c>
    </row>
  </sheetData>
  <phoneticPr fontId="30" type="noConversion"/>
  <hyperlinks>
    <hyperlink ref="A6" location="'Data 1'!A1" display="Data 1" xr:uid="{A483A2E4-F642-7843-8EA0-0EAFBF620566}"/>
    <hyperlink ref="B11" r:id="rId1" display="https://www.eia.gov/dnav/pet/hist/LeafHandler.ashx?n=PET&amp;s=EER_EPJK_PF4_RGC_DPG&amp;f=M_x0003_" xr:uid="{A54EC4C9-A67A-7949-95A0-068946A9A9EC}"/>
    <hyperlink ref="B13" r:id="rId2" display="InfoCtr@eia.gov_x0003_InfoCtr@eia.gov" xr:uid="{5B5D8222-0142-9445-942B-3FA5919B0538}"/>
  </hyperlinks>
  <pageMargins left="0.75" right="0.75" top="1" bottom="1" header="0.5" footer="0.5"/>
  <headerFooter alignWithMargins="0"/>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73773-DFB1-7946-860F-B610F6FBA13E}">
  <sheetPr>
    <tabColor theme="1" tint="0.499984740745262"/>
  </sheetPr>
  <dimension ref="A1:H62"/>
  <sheetViews>
    <sheetView workbookViewId="0"/>
  </sheetViews>
  <sheetFormatPr baseColWidth="10" defaultColWidth="10.83203125" defaultRowHeight="16" x14ac:dyDescent="0.2"/>
  <cols>
    <col min="1" max="1" width="7.83203125" style="254" bestFit="1" customWidth="1"/>
    <col min="2" max="2" width="12.6640625" style="251" bestFit="1" customWidth="1"/>
    <col min="3" max="3" width="13.33203125" style="251" bestFit="1" customWidth="1"/>
    <col min="4" max="5" width="12.6640625" style="251" bestFit="1" customWidth="1"/>
    <col min="6" max="16384" width="10.83203125" style="251"/>
  </cols>
  <sheetData>
    <row r="1" spans="1:5" ht="17" thickBot="1" x14ac:dyDescent="0.25">
      <c r="A1" s="255" t="s">
        <v>1102</v>
      </c>
      <c r="B1" s="256" t="s">
        <v>1103</v>
      </c>
      <c r="C1" s="256" t="s">
        <v>1104</v>
      </c>
      <c r="D1" s="256" t="s">
        <v>1105</v>
      </c>
      <c r="E1" s="257" t="s">
        <v>1106</v>
      </c>
    </row>
    <row r="2" spans="1:5" x14ac:dyDescent="0.2">
      <c r="A2" s="252" t="s">
        <v>1107</v>
      </c>
      <c r="B2" s="253">
        <v>0.18745000000000001</v>
      </c>
      <c r="C2" s="253">
        <v>-1.0000000000000001E-5</v>
      </c>
      <c r="D2" s="253">
        <v>0.18745999999999999</v>
      </c>
      <c r="E2" s="253">
        <v>0.18745000000000001</v>
      </c>
    </row>
    <row r="3" spans="1:5" x14ac:dyDescent="0.2">
      <c r="A3" s="252" t="s">
        <v>1108</v>
      </c>
      <c r="B3" s="253">
        <v>0.1867</v>
      </c>
      <c r="C3" s="253">
        <v>-4.4999999999999999E-4</v>
      </c>
      <c r="D3" s="253">
        <v>0.18865000000000001</v>
      </c>
      <c r="E3" s="253">
        <v>0.18615000000000001</v>
      </c>
    </row>
    <row r="4" spans="1:5" x14ac:dyDescent="0.2">
      <c r="A4" s="252" t="s">
        <v>1109</v>
      </c>
      <c r="B4" s="253">
        <v>0.18525</v>
      </c>
      <c r="C4" s="253">
        <v>-8.0000000000000004E-4</v>
      </c>
      <c r="D4" s="253">
        <v>0.18725</v>
      </c>
      <c r="E4" s="253">
        <v>0.18525</v>
      </c>
    </row>
    <row r="5" spans="1:5" x14ac:dyDescent="0.2">
      <c r="A5" s="252" t="s">
        <v>1110</v>
      </c>
      <c r="B5" s="253">
        <v>0.185</v>
      </c>
      <c r="C5" s="253">
        <v>-5.0000000000000002E-5</v>
      </c>
      <c r="D5" s="253">
        <v>0.185</v>
      </c>
      <c r="E5" s="253">
        <v>0.18484999999999999</v>
      </c>
    </row>
    <row r="6" spans="1:5" x14ac:dyDescent="0.2">
      <c r="A6" s="252" t="s">
        <v>1111</v>
      </c>
      <c r="B6" s="253">
        <v>0.18390000000000001</v>
      </c>
      <c r="C6" s="253">
        <v>-1.4999999999999999E-4</v>
      </c>
      <c r="D6" s="253">
        <v>0.18390000000000001</v>
      </c>
      <c r="E6" s="253">
        <v>0.18390000000000001</v>
      </c>
    </row>
    <row r="7" spans="1:5" x14ac:dyDescent="0.2">
      <c r="A7" s="252" t="s">
        <v>1112</v>
      </c>
      <c r="B7" s="253">
        <v>0.18295</v>
      </c>
      <c r="C7" s="253">
        <v>-1E-4</v>
      </c>
      <c r="D7" s="253">
        <v>0.18295</v>
      </c>
      <c r="E7" s="253">
        <v>0.18295</v>
      </c>
    </row>
    <row r="8" spans="1:5" x14ac:dyDescent="0.2">
      <c r="A8" s="252" t="s">
        <v>1113</v>
      </c>
      <c r="B8" s="253">
        <v>0.18204999999999999</v>
      </c>
      <c r="C8" s="253">
        <v>-1.4999999999999999E-4</v>
      </c>
      <c r="D8" s="253">
        <v>0.18204999999999999</v>
      </c>
      <c r="E8" s="253">
        <v>0.18204999999999999</v>
      </c>
    </row>
    <row r="9" spans="1:5" x14ac:dyDescent="0.2">
      <c r="A9" s="252" t="s">
        <v>1114</v>
      </c>
      <c r="B9" s="253">
        <v>0.18099999999999999</v>
      </c>
      <c r="C9" s="253">
        <v>-1E-4</v>
      </c>
      <c r="D9" s="253">
        <v>0.18099999999999999</v>
      </c>
      <c r="E9" s="253">
        <v>0.18099999999999999</v>
      </c>
    </row>
    <row r="10" spans="1:5" x14ac:dyDescent="0.2">
      <c r="A10" s="252" t="s">
        <v>1115</v>
      </c>
      <c r="B10" s="253">
        <v>0.17995</v>
      </c>
      <c r="C10" s="253">
        <v>-1.4999999999999999E-4</v>
      </c>
      <c r="D10" s="253">
        <v>0.17995</v>
      </c>
      <c r="E10" s="253">
        <v>0.17995</v>
      </c>
    </row>
    <row r="11" spans="1:5" x14ac:dyDescent="0.2">
      <c r="A11" s="252" t="s">
        <v>1116</v>
      </c>
      <c r="B11" s="253">
        <v>0.1789</v>
      </c>
      <c r="C11" s="253">
        <v>-1E-4</v>
      </c>
      <c r="D11" s="253">
        <v>0.1789</v>
      </c>
      <c r="E11" s="253">
        <v>0.1789</v>
      </c>
    </row>
    <row r="12" spans="1:5" x14ac:dyDescent="0.2">
      <c r="A12" s="252" t="s">
        <v>1117</v>
      </c>
      <c r="B12" s="253">
        <v>0.17785000000000001</v>
      </c>
      <c r="C12" s="253">
        <v>-1.4999999999999999E-4</v>
      </c>
      <c r="D12" s="253">
        <v>0.17785000000000001</v>
      </c>
      <c r="E12" s="253">
        <v>0.17785000000000001</v>
      </c>
    </row>
    <row r="13" spans="1:5" x14ac:dyDescent="0.2">
      <c r="A13" s="252" t="s">
        <v>1118</v>
      </c>
      <c r="B13" s="253">
        <v>0.1769</v>
      </c>
      <c r="C13" s="253">
        <v>-2.0000000000000001E-4</v>
      </c>
      <c r="D13" s="253">
        <v>0.1769</v>
      </c>
      <c r="E13" s="253">
        <v>0.1769</v>
      </c>
    </row>
    <row r="14" spans="1:5" x14ac:dyDescent="0.2">
      <c r="A14" s="252" t="s">
        <v>1119</v>
      </c>
      <c r="B14" s="253">
        <v>0.1759</v>
      </c>
      <c r="C14" s="253">
        <v>-2.0000000000000001E-4</v>
      </c>
      <c r="D14" s="253">
        <v>0.1759</v>
      </c>
      <c r="E14" s="253">
        <v>0.1759</v>
      </c>
    </row>
    <row r="15" spans="1:5" x14ac:dyDescent="0.2">
      <c r="A15" s="252" t="s">
        <v>1120</v>
      </c>
      <c r="B15" s="253">
        <v>0.17494999999999999</v>
      </c>
      <c r="C15" s="253">
        <v>-2.5000000000000001E-4</v>
      </c>
      <c r="D15" s="253">
        <v>0.17494999999999999</v>
      </c>
      <c r="E15" s="253">
        <v>0.17494999999999999</v>
      </c>
    </row>
    <row r="16" spans="1:5" x14ac:dyDescent="0.2">
      <c r="A16" s="252" t="s">
        <v>1121</v>
      </c>
      <c r="B16" s="253">
        <v>0.17405000000000001</v>
      </c>
      <c r="C16" s="253">
        <v>-2.5000000000000001E-4</v>
      </c>
      <c r="D16" s="253">
        <v>0.17405000000000001</v>
      </c>
      <c r="E16" s="253">
        <v>0.17405000000000001</v>
      </c>
    </row>
    <row r="17" spans="1:8" x14ac:dyDescent="0.2">
      <c r="A17" s="252" t="s">
        <v>1122</v>
      </c>
      <c r="B17" s="253">
        <v>0.17305000000000001</v>
      </c>
      <c r="C17" s="253">
        <v>-2.5000000000000001E-4</v>
      </c>
      <c r="D17" s="253">
        <v>0.17305000000000001</v>
      </c>
      <c r="E17" s="253">
        <v>0.17305000000000001</v>
      </c>
    </row>
    <row r="18" spans="1:8" x14ac:dyDescent="0.2">
      <c r="A18" s="252" t="s">
        <v>1123</v>
      </c>
      <c r="B18" s="253">
        <v>0.17215</v>
      </c>
      <c r="C18" s="253">
        <v>-2.5000000000000001E-4</v>
      </c>
      <c r="D18" s="253">
        <v>0.17215</v>
      </c>
      <c r="E18" s="253">
        <v>0.17215</v>
      </c>
    </row>
    <row r="19" spans="1:8" x14ac:dyDescent="0.2">
      <c r="A19" s="252" t="s">
        <v>1124</v>
      </c>
      <c r="B19" s="253">
        <v>0.17130000000000001</v>
      </c>
      <c r="C19" s="253">
        <v>-2.5000000000000001E-4</v>
      </c>
      <c r="D19" s="253">
        <v>0.17130000000000001</v>
      </c>
      <c r="E19" s="253">
        <v>0.17130000000000001</v>
      </c>
    </row>
    <row r="20" spans="1:8" x14ac:dyDescent="0.2">
      <c r="A20" s="252" t="s">
        <v>1125</v>
      </c>
      <c r="B20" s="253">
        <v>0.17030000000000001</v>
      </c>
      <c r="C20" s="253">
        <v>-2.9999999999999997E-4</v>
      </c>
      <c r="D20" s="253">
        <v>0.17030000000000001</v>
      </c>
      <c r="E20" s="253">
        <v>0.17030000000000001</v>
      </c>
      <c r="H20" s="475" t="s">
        <v>1126</v>
      </c>
    </row>
    <row r="21" spans="1:8" x14ac:dyDescent="0.2">
      <c r="A21" s="252" t="s">
        <v>1127</v>
      </c>
      <c r="B21" s="253">
        <v>0.1694</v>
      </c>
      <c r="C21" s="253">
        <v>-2.5000000000000001E-4</v>
      </c>
      <c r="D21" s="253">
        <v>0.1694</v>
      </c>
      <c r="E21" s="253">
        <v>0.1694</v>
      </c>
    </row>
    <row r="22" spans="1:8" x14ac:dyDescent="0.2">
      <c r="A22" s="252" t="s">
        <v>1128</v>
      </c>
      <c r="B22" s="253">
        <v>0.1686</v>
      </c>
      <c r="C22" s="253">
        <v>-2.5000000000000001E-4</v>
      </c>
      <c r="D22" s="253">
        <v>0.1686</v>
      </c>
      <c r="E22" s="253">
        <v>0.1686</v>
      </c>
    </row>
    <row r="23" spans="1:8" x14ac:dyDescent="0.2">
      <c r="A23" s="252" t="s">
        <v>1129</v>
      </c>
      <c r="B23" s="253">
        <v>0.16764999999999999</v>
      </c>
      <c r="C23" s="253">
        <v>-2.5000000000000001E-4</v>
      </c>
      <c r="D23" s="253">
        <v>0.16764999999999999</v>
      </c>
      <c r="E23" s="253">
        <v>0.16764999999999999</v>
      </c>
    </row>
    <row r="24" spans="1:8" x14ac:dyDescent="0.2">
      <c r="A24" s="252" t="s">
        <v>1130</v>
      </c>
      <c r="B24" s="253">
        <v>0.16675000000000001</v>
      </c>
      <c r="C24" s="253">
        <v>-2.9999999999999997E-4</v>
      </c>
      <c r="D24" s="253">
        <v>0.16675000000000001</v>
      </c>
      <c r="E24" s="253">
        <v>0.16675000000000001</v>
      </c>
    </row>
    <row r="25" spans="1:8" x14ac:dyDescent="0.2">
      <c r="A25" s="252" t="s">
        <v>1131</v>
      </c>
      <c r="B25" s="253">
        <v>0.16589999999999999</v>
      </c>
      <c r="C25" s="253">
        <v>-2.9999999999999997E-4</v>
      </c>
      <c r="D25" s="253">
        <v>0.16589999999999999</v>
      </c>
      <c r="E25" s="253">
        <v>0.16589999999999999</v>
      </c>
    </row>
    <row r="26" spans="1:8" x14ac:dyDescent="0.2">
      <c r="A26" s="252" t="s">
        <v>1132</v>
      </c>
      <c r="B26" s="253">
        <v>0.16500000000000001</v>
      </c>
      <c r="C26" s="253">
        <v>-2.9999999999999997E-4</v>
      </c>
      <c r="D26" s="253">
        <v>0.16500000000000001</v>
      </c>
      <c r="E26" s="253">
        <v>0.16500000000000001</v>
      </c>
    </row>
    <row r="27" spans="1:8" x14ac:dyDescent="0.2">
      <c r="A27" s="252" t="s">
        <v>1133</v>
      </c>
      <c r="B27" s="253">
        <v>0.16420000000000001</v>
      </c>
      <c r="C27" s="253">
        <v>-2.9999999999999997E-4</v>
      </c>
      <c r="D27" s="253">
        <v>0.16420000000000001</v>
      </c>
      <c r="E27" s="253">
        <v>0.16420000000000001</v>
      </c>
    </row>
    <row r="28" spans="1:8" x14ac:dyDescent="0.2">
      <c r="A28" s="252" t="s">
        <v>1134</v>
      </c>
      <c r="B28" s="253">
        <v>0.16335</v>
      </c>
      <c r="C28" s="253">
        <v>-2.9999999999999997E-4</v>
      </c>
      <c r="D28" s="253">
        <v>0.16335</v>
      </c>
      <c r="E28" s="253">
        <v>0.16335</v>
      </c>
    </row>
    <row r="29" spans="1:8" x14ac:dyDescent="0.2">
      <c r="A29" s="252" t="s">
        <v>1135</v>
      </c>
      <c r="B29" s="253">
        <v>0.16250000000000001</v>
      </c>
      <c r="C29" s="253">
        <v>-2.9999999999999997E-4</v>
      </c>
      <c r="D29" s="253">
        <v>0.16250000000000001</v>
      </c>
      <c r="E29" s="253">
        <v>0.16250000000000001</v>
      </c>
    </row>
    <row r="30" spans="1:8" x14ac:dyDescent="0.2">
      <c r="A30" s="252" t="s">
        <v>1136</v>
      </c>
      <c r="B30" s="253">
        <v>0.16175</v>
      </c>
      <c r="C30" s="253">
        <v>-2.9999999999999997E-4</v>
      </c>
      <c r="D30" s="253">
        <v>0.16175</v>
      </c>
      <c r="E30" s="253">
        <v>0.16175</v>
      </c>
    </row>
    <row r="31" spans="1:8" x14ac:dyDescent="0.2">
      <c r="A31" s="252" t="s">
        <v>1137</v>
      </c>
      <c r="B31" s="253">
        <v>0.16089999999999999</v>
      </c>
      <c r="C31" s="253">
        <v>-3.5E-4</v>
      </c>
      <c r="D31" s="253">
        <v>0.16089999999999999</v>
      </c>
      <c r="E31" s="253">
        <v>0.16089999999999999</v>
      </c>
    </row>
    <row r="32" spans="1:8" x14ac:dyDescent="0.2">
      <c r="A32" s="252" t="s">
        <v>1138</v>
      </c>
      <c r="B32" s="253">
        <v>0.16009999999999999</v>
      </c>
      <c r="C32" s="253">
        <v>-3.5E-4</v>
      </c>
      <c r="D32" s="253">
        <v>0.16009999999999999</v>
      </c>
      <c r="E32" s="253">
        <v>0.16009999999999999</v>
      </c>
    </row>
    <row r="33" spans="1:5" x14ac:dyDescent="0.2">
      <c r="A33" s="252" t="s">
        <v>1139</v>
      </c>
      <c r="B33" s="253">
        <v>0.15934999999999999</v>
      </c>
      <c r="C33" s="253">
        <v>-2.9999999999999997E-4</v>
      </c>
      <c r="D33" s="253">
        <v>0.15934999999999999</v>
      </c>
      <c r="E33" s="253">
        <v>0.15934999999999999</v>
      </c>
    </row>
    <row r="34" spans="1:5" x14ac:dyDescent="0.2">
      <c r="A34" s="252" t="s">
        <v>1140</v>
      </c>
      <c r="B34" s="253">
        <v>0.15855</v>
      </c>
      <c r="C34" s="253">
        <v>-2.9999999999999997E-4</v>
      </c>
      <c r="D34" s="253">
        <v>0.15855</v>
      </c>
      <c r="E34" s="253">
        <v>0.15855</v>
      </c>
    </row>
    <row r="35" spans="1:5" x14ac:dyDescent="0.2">
      <c r="A35" s="252" t="s">
        <v>1141</v>
      </c>
      <c r="B35" s="253">
        <v>0.15775</v>
      </c>
      <c r="C35" s="253">
        <v>-3.5E-4</v>
      </c>
      <c r="D35" s="253">
        <v>0.15775</v>
      </c>
      <c r="E35" s="253">
        <v>0.15775</v>
      </c>
    </row>
    <row r="36" spans="1:5" x14ac:dyDescent="0.2">
      <c r="A36" s="252" t="s">
        <v>1142</v>
      </c>
      <c r="B36" s="253">
        <v>0.157</v>
      </c>
      <c r="C36" s="253">
        <v>-3.5E-4</v>
      </c>
      <c r="D36" s="253">
        <v>0.157</v>
      </c>
      <c r="E36" s="253">
        <v>0.157</v>
      </c>
    </row>
    <row r="37" spans="1:5" x14ac:dyDescent="0.2">
      <c r="A37" s="252" t="s">
        <v>1143</v>
      </c>
      <c r="B37" s="253">
        <v>0.15620000000000001</v>
      </c>
      <c r="C37" s="253">
        <v>-3.5E-4</v>
      </c>
      <c r="D37" s="253">
        <v>0.15620000000000001</v>
      </c>
      <c r="E37" s="253">
        <v>0.15620000000000001</v>
      </c>
    </row>
    <row r="38" spans="1:5" x14ac:dyDescent="0.2">
      <c r="A38" s="252" t="s">
        <v>1144</v>
      </c>
      <c r="B38" s="253">
        <v>0.15545</v>
      </c>
      <c r="C38" s="253">
        <v>-3.5E-4</v>
      </c>
      <c r="D38" s="253">
        <v>0.15545</v>
      </c>
      <c r="E38" s="253">
        <v>0.15545</v>
      </c>
    </row>
    <row r="39" spans="1:5" x14ac:dyDescent="0.2">
      <c r="A39" s="252" t="s">
        <v>1145</v>
      </c>
      <c r="B39" s="253">
        <v>0.15475</v>
      </c>
      <c r="C39" s="253">
        <v>-3.5E-4</v>
      </c>
      <c r="D39" s="253">
        <v>0.15475</v>
      </c>
      <c r="E39" s="253">
        <v>0.15475</v>
      </c>
    </row>
    <row r="40" spans="1:5" x14ac:dyDescent="0.2">
      <c r="A40" s="252" t="s">
        <v>1146</v>
      </c>
      <c r="B40" s="253">
        <v>0.15395</v>
      </c>
      <c r="C40" s="253">
        <v>-3.5E-4</v>
      </c>
      <c r="D40" s="253">
        <v>0.15395</v>
      </c>
      <c r="E40" s="253">
        <v>0.15395</v>
      </c>
    </row>
    <row r="41" spans="1:5" x14ac:dyDescent="0.2">
      <c r="A41" s="252" t="s">
        <v>1147</v>
      </c>
      <c r="B41" s="253">
        <v>0.1532</v>
      </c>
      <c r="C41" s="253">
        <v>-4.0000000000000002E-4</v>
      </c>
      <c r="D41" s="253">
        <v>0.1532</v>
      </c>
      <c r="E41" s="253">
        <v>0.1532</v>
      </c>
    </row>
    <row r="42" spans="1:5" x14ac:dyDescent="0.2">
      <c r="A42" s="252" t="s">
        <v>1148</v>
      </c>
      <c r="B42" s="253">
        <v>0.15254999999999999</v>
      </c>
      <c r="C42" s="253">
        <v>-3.5E-4</v>
      </c>
      <c r="D42" s="253">
        <v>0.15254999999999999</v>
      </c>
      <c r="E42" s="253">
        <v>0.15254999999999999</v>
      </c>
    </row>
    <row r="43" spans="1:5" x14ac:dyDescent="0.2">
      <c r="A43" s="252" t="s">
        <v>1149</v>
      </c>
      <c r="B43" s="253">
        <v>0.15179999999999999</v>
      </c>
      <c r="C43" s="253">
        <v>-3.5E-4</v>
      </c>
      <c r="D43" s="253">
        <v>0.15179999999999999</v>
      </c>
      <c r="E43" s="253">
        <v>0.15179999999999999</v>
      </c>
    </row>
    <row r="44" spans="1:5" x14ac:dyDescent="0.2">
      <c r="A44" s="252" t="s">
        <v>1150</v>
      </c>
      <c r="B44" s="253">
        <v>0.15110000000000001</v>
      </c>
      <c r="C44" s="253">
        <v>-3.5E-4</v>
      </c>
      <c r="D44" s="253">
        <v>0.15110000000000001</v>
      </c>
      <c r="E44" s="253">
        <v>0.15110000000000001</v>
      </c>
    </row>
    <row r="45" spans="1:5" x14ac:dyDescent="0.2">
      <c r="A45" s="252" t="s">
        <v>1151</v>
      </c>
      <c r="B45" s="253">
        <v>0.15040000000000001</v>
      </c>
      <c r="C45" s="253">
        <v>-4.0000000000000002E-4</v>
      </c>
      <c r="D45" s="253">
        <v>0.15040000000000001</v>
      </c>
      <c r="E45" s="253">
        <v>0.15040000000000001</v>
      </c>
    </row>
    <row r="46" spans="1:5" x14ac:dyDescent="0.2">
      <c r="A46" s="252" t="s">
        <v>1152</v>
      </c>
      <c r="B46" s="253">
        <v>0.14965000000000001</v>
      </c>
      <c r="C46" s="253">
        <v>-4.0000000000000002E-4</v>
      </c>
      <c r="D46" s="253">
        <v>0.14965000000000001</v>
      </c>
      <c r="E46" s="253">
        <v>0.14965000000000001</v>
      </c>
    </row>
    <row r="47" spans="1:5" x14ac:dyDescent="0.2">
      <c r="A47" s="252" t="s">
        <v>1153</v>
      </c>
      <c r="B47" s="253">
        <v>0.14895</v>
      </c>
      <c r="C47" s="253">
        <v>-4.0000000000000002E-4</v>
      </c>
      <c r="D47" s="253">
        <v>0.14895</v>
      </c>
      <c r="E47" s="253">
        <v>0.14895</v>
      </c>
    </row>
    <row r="48" spans="1:5" x14ac:dyDescent="0.2">
      <c r="A48" s="252" t="s">
        <v>1154</v>
      </c>
      <c r="B48" s="253">
        <v>0.14824999999999999</v>
      </c>
      <c r="C48" s="253">
        <v>-4.0000000000000002E-4</v>
      </c>
      <c r="D48" s="253">
        <v>0.14824999999999999</v>
      </c>
      <c r="E48" s="253">
        <v>0.14824999999999999</v>
      </c>
    </row>
    <row r="49" spans="1:5" x14ac:dyDescent="0.2">
      <c r="A49" s="252" t="s">
        <v>1155</v>
      </c>
      <c r="B49" s="253">
        <v>0.14760000000000001</v>
      </c>
      <c r="C49" s="253">
        <v>-3.5E-4</v>
      </c>
      <c r="D49" s="253">
        <v>0.14760000000000001</v>
      </c>
      <c r="E49" s="253">
        <v>0.14760000000000001</v>
      </c>
    </row>
    <row r="50" spans="1:5" x14ac:dyDescent="0.2">
      <c r="A50" s="252" t="s">
        <v>1156</v>
      </c>
      <c r="B50" s="253">
        <v>0.1469</v>
      </c>
      <c r="C50" s="253">
        <v>-4.0000000000000002E-4</v>
      </c>
      <c r="D50" s="253">
        <v>0.1469</v>
      </c>
      <c r="E50" s="253">
        <v>0.1469</v>
      </c>
    </row>
    <row r="51" spans="1:5" x14ac:dyDescent="0.2">
      <c r="A51" s="252" t="s">
        <v>1157</v>
      </c>
      <c r="B51" s="253">
        <v>0.14624999999999999</v>
      </c>
      <c r="C51" s="253">
        <v>-4.0000000000000002E-4</v>
      </c>
      <c r="D51" s="253">
        <v>0.14624999999999999</v>
      </c>
      <c r="E51" s="253">
        <v>0.14624999999999999</v>
      </c>
    </row>
    <row r="52" spans="1:5" x14ac:dyDescent="0.2">
      <c r="A52" s="252" t="s">
        <v>1158</v>
      </c>
      <c r="B52" s="253">
        <v>0.14555000000000001</v>
      </c>
      <c r="C52" s="253">
        <v>-4.0000000000000002E-4</v>
      </c>
      <c r="D52" s="253">
        <v>0.14555000000000001</v>
      </c>
      <c r="E52" s="253">
        <v>0.14555000000000001</v>
      </c>
    </row>
    <row r="53" spans="1:5" x14ac:dyDescent="0.2">
      <c r="A53" s="252" t="s">
        <v>1159</v>
      </c>
      <c r="B53" s="253">
        <v>0.14495</v>
      </c>
      <c r="C53" s="253">
        <v>-4.0000000000000002E-4</v>
      </c>
      <c r="D53" s="253">
        <v>0.14495</v>
      </c>
      <c r="E53" s="253">
        <v>0.14495</v>
      </c>
    </row>
    <row r="54" spans="1:5" x14ac:dyDescent="0.2">
      <c r="A54" s="252" t="s">
        <v>1160</v>
      </c>
      <c r="B54" s="253">
        <v>0.14435000000000001</v>
      </c>
      <c r="C54" s="253">
        <v>-4.0000000000000002E-4</v>
      </c>
      <c r="D54" s="253">
        <v>0.14435000000000001</v>
      </c>
      <c r="E54" s="253">
        <v>0.14435000000000001</v>
      </c>
    </row>
    <row r="55" spans="1:5" x14ac:dyDescent="0.2">
      <c r="A55" s="252" t="s">
        <v>1161</v>
      </c>
      <c r="B55" s="253">
        <v>0.14365</v>
      </c>
      <c r="C55" s="253">
        <v>-4.0000000000000002E-4</v>
      </c>
      <c r="D55" s="253">
        <v>0.14365</v>
      </c>
      <c r="E55" s="253">
        <v>0.14365</v>
      </c>
    </row>
    <row r="56" spans="1:5" x14ac:dyDescent="0.2">
      <c r="A56" s="252" t="s">
        <v>1162</v>
      </c>
      <c r="B56" s="253">
        <v>0.14299999999999999</v>
      </c>
      <c r="C56" s="253">
        <v>-4.0000000000000002E-4</v>
      </c>
      <c r="D56" s="253">
        <v>0.14299999999999999</v>
      </c>
      <c r="E56" s="253">
        <v>0.14299999999999999</v>
      </c>
    </row>
    <row r="57" spans="1:5" x14ac:dyDescent="0.2">
      <c r="A57" s="252" t="s">
        <v>1163</v>
      </c>
      <c r="B57" s="253">
        <v>0.1424</v>
      </c>
      <c r="C57" s="253">
        <v>-4.4999999999999999E-4</v>
      </c>
      <c r="D57" s="253">
        <v>0.1424</v>
      </c>
      <c r="E57" s="253">
        <v>0.1424</v>
      </c>
    </row>
    <row r="58" spans="1:5" x14ac:dyDescent="0.2">
      <c r="A58" s="252" t="s">
        <v>1164</v>
      </c>
      <c r="B58" s="253">
        <v>0.14174999999999999</v>
      </c>
      <c r="C58" s="253">
        <v>-4.0000000000000002E-4</v>
      </c>
      <c r="D58" s="253">
        <v>0.14174999999999999</v>
      </c>
      <c r="E58" s="253">
        <v>0.14174999999999999</v>
      </c>
    </row>
    <row r="59" spans="1:5" x14ac:dyDescent="0.2">
      <c r="A59" s="252" t="s">
        <v>1165</v>
      </c>
      <c r="B59" s="253">
        <v>0.1411</v>
      </c>
      <c r="C59" s="253">
        <v>-4.4999999999999999E-4</v>
      </c>
      <c r="D59" s="253">
        <v>0.1411</v>
      </c>
      <c r="E59" s="253">
        <v>0.1411</v>
      </c>
    </row>
    <row r="60" spans="1:5" x14ac:dyDescent="0.2">
      <c r="A60" s="252" t="s">
        <v>1166</v>
      </c>
      <c r="B60" s="253">
        <v>0.14044999999999999</v>
      </c>
      <c r="C60" s="253">
        <v>-4.4999999999999999E-4</v>
      </c>
      <c r="D60" s="253">
        <v>0.14044999999999999</v>
      </c>
      <c r="E60" s="253">
        <v>0.14044999999999999</v>
      </c>
    </row>
    <row r="61" spans="1:5" x14ac:dyDescent="0.2">
      <c r="A61" s="252" t="s">
        <v>1167</v>
      </c>
      <c r="B61" s="253">
        <v>0.13985</v>
      </c>
      <c r="C61" s="253">
        <v>-4.4999999999999999E-4</v>
      </c>
      <c r="D61" s="253">
        <v>0.13985</v>
      </c>
      <c r="E61" s="253">
        <v>0.13985</v>
      </c>
    </row>
    <row r="62" spans="1:5" x14ac:dyDescent="0.2">
      <c r="A62" s="252" t="s">
        <v>1168</v>
      </c>
      <c r="B62" s="253">
        <v>0.13930000000000001</v>
      </c>
      <c r="C62" s="253">
        <v>-4.0000000000000002E-4</v>
      </c>
      <c r="D62" s="253">
        <v>0.13930000000000001</v>
      </c>
      <c r="E62" s="253">
        <v>0.13930000000000001</v>
      </c>
    </row>
  </sheetData>
  <hyperlinks>
    <hyperlink ref="A2" r:id="rId1" display="https://it.investing.com/currencies/usd-brl-contracts?page=chart&amp;symbol=L6Y00" xr:uid="{DA1553DF-7E4A-1145-AEB8-352DF0D28FBB}"/>
    <hyperlink ref="A3" r:id="rId2" display="https://it.investing.com/currencies/usd-brl-contracts?page=chart&amp;symbol=L6Z22" xr:uid="{94ACD7E3-79D2-BF46-95EA-FCFD5D495E3E}"/>
    <hyperlink ref="A4" r:id="rId3" display="https://it.investing.com/currencies/usd-brl-contracts?page=chart&amp;symbol=L6F23" xr:uid="{875627BB-2DA0-F942-BE1B-82B80DC3FCDD}"/>
    <hyperlink ref="A5" r:id="rId4" display="https://it.investing.com/currencies/usd-brl-contracts?page=chart&amp;symbol=L6G23" xr:uid="{1B586A8A-CD71-C345-913E-D69696A8956F}"/>
    <hyperlink ref="A6" r:id="rId5" display="https://it.investing.com/currencies/usd-brl-contracts?page=chart&amp;symbol=L6H23" xr:uid="{DDBC462B-43EC-634B-A4A0-4C0721244E2C}"/>
    <hyperlink ref="A7" r:id="rId6" display="https://it.investing.com/currencies/usd-brl-contracts?page=chart&amp;symbol=L6J23" xr:uid="{E44B3C18-C6F0-F443-8263-79E09C11F869}"/>
    <hyperlink ref="A8" r:id="rId7" display="https://it.investing.com/currencies/usd-brl-contracts?page=chart&amp;symbol=L6K23" xr:uid="{C978049E-0CCE-C64D-9BF9-98CB229CC942}"/>
    <hyperlink ref="A9" r:id="rId8" display="https://it.investing.com/currencies/usd-brl-contracts?page=chart&amp;symbol=L6M23" xr:uid="{9093EBDF-C1C6-9B43-A447-B6CA8872CED3}"/>
    <hyperlink ref="A10" r:id="rId9" display="https://it.investing.com/currencies/usd-brl-contracts?page=chart&amp;symbol=L6N23" xr:uid="{0B522EB8-FEF1-C445-94E0-1C4D4AB42E0E}"/>
    <hyperlink ref="A11" r:id="rId10" display="https://it.investing.com/currencies/usd-brl-contracts?page=chart&amp;symbol=L6Q23" xr:uid="{874EEFFA-F730-C440-99FA-82E4F07C6E71}"/>
    <hyperlink ref="A12" r:id="rId11" display="https://it.investing.com/currencies/usd-brl-contracts?page=chart&amp;symbol=L6U23" xr:uid="{44876497-180A-2A43-B5BF-41F357E057D8}"/>
    <hyperlink ref="A13" r:id="rId12" display="https://it.investing.com/currencies/usd-brl-contracts?page=chart&amp;symbol=L6V23" xr:uid="{0E9AA489-BC02-8F43-AD4E-21684ACE878B}"/>
    <hyperlink ref="A14" r:id="rId13" display="https://it.investing.com/currencies/usd-brl-contracts?page=chart&amp;symbol=L6X23" xr:uid="{C5173DF7-99EA-2A44-972E-12CEB27834A3}"/>
    <hyperlink ref="A15" r:id="rId14" display="https://it.investing.com/currencies/usd-brl-contracts?page=chart&amp;symbol=L6Z23" xr:uid="{DD63C85B-B1C4-C549-B980-61DD9A205502}"/>
    <hyperlink ref="A16" r:id="rId15" display="https://it.investing.com/currencies/usd-brl-contracts?page=chart&amp;symbol=L6F24" xr:uid="{C6BB71D1-0B97-B740-B51F-E5B02CCA72E2}"/>
    <hyperlink ref="A17" r:id="rId16" display="https://it.investing.com/currencies/usd-brl-contracts?page=chart&amp;symbol=L6G24" xr:uid="{73526394-8EB0-BB4B-A2CC-C8C35ED50F60}"/>
    <hyperlink ref="A18" r:id="rId17" display="https://it.investing.com/currencies/usd-brl-contracts?page=chart&amp;symbol=L6H24" xr:uid="{7E2B37BB-E688-C54A-A514-E5EF1680A6D3}"/>
    <hyperlink ref="A19" r:id="rId18" display="https://it.investing.com/currencies/usd-brl-contracts?page=chart&amp;symbol=L6J24" xr:uid="{0B02926C-EF6B-1C44-A1FC-7CD36670EB8F}"/>
    <hyperlink ref="A20" r:id="rId19" display="https://it.investing.com/currencies/usd-brl-contracts?page=chart&amp;symbol=L6K24" xr:uid="{516905E0-5114-A446-AC90-9615C2E85571}"/>
    <hyperlink ref="A21" r:id="rId20" display="https://it.investing.com/currencies/usd-brl-contracts?page=chart&amp;symbol=L6M24" xr:uid="{0ECC2D1E-C7EE-0F4F-A53C-5C586E3719E1}"/>
    <hyperlink ref="A22" r:id="rId21" display="https://it.investing.com/currencies/usd-brl-contracts?page=chart&amp;symbol=L6N24" xr:uid="{4DCED043-8065-3A44-9DA2-9148D1064539}"/>
    <hyperlink ref="A23" r:id="rId22" display="https://it.investing.com/currencies/usd-brl-contracts?page=chart&amp;symbol=L6Q24" xr:uid="{8B33F0BF-E437-5B4F-BCC5-D9354D85922E}"/>
    <hyperlink ref="A24" r:id="rId23" display="https://it.investing.com/currencies/usd-brl-contracts?page=chart&amp;symbol=L6U24" xr:uid="{87308164-66AF-8741-879A-AB808B27AFBE}"/>
    <hyperlink ref="A25" r:id="rId24" display="https://it.investing.com/currencies/usd-brl-contracts?page=chart&amp;symbol=L6V24" xr:uid="{555EE260-6D30-5245-9DEB-CD2E6D998E97}"/>
    <hyperlink ref="A26" r:id="rId25" display="https://it.investing.com/currencies/usd-brl-contracts?page=chart&amp;symbol=L6X24" xr:uid="{63C54D7C-C177-CC47-94A1-15F1D383226A}"/>
    <hyperlink ref="A27" r:id="rId26" display="https://it.investing.com/currencies/usd-brl-contracts?page=chart&amp;symbol=L6Z24" xr:uid="{BE379B7B-CBEF-8540-BCC5-B2879C57A87A}"/>
    <hyperlink ref="A28" r:id="rId27" display="https://it.investing.com/currencies/usd-brl-contracts?page=chart&amp;symbol=L6F25" xr:uid="{84B6BDBC-988C-8A4B-87DF-43A50D956DAF}"/>
    <hyperlink ref="A29" r:id="rId28" display="https://it.investing.com/currencies/usd-brl-contracts?page=chart&amp;symbol=L6G25" xr:uid="{496F1535-9438-6144-992A-28A690DDD882}"/>
    <hyperlink ref="A30" r:id="rId29" display="https://it.investing.com/currencies/usd-brl-contracts?page=chart&amp;symbol=L6H25" xr:uid="{D198ABFF-4501-9F45-86C3-53720ADCC89B}"/>
    <hyperlink ref="A31" r:id="rId30" display="https://it.investing.com/currencies/usd-brl-contracts?page=chart&amp;symbol=L6J25" xr:uid="{A25C171D-03E7-6E49-97F2-D82CDE9032EE}"/>
    <hyperlink ref="A32" r:id="rId31" display="https://it.investing.com/currencies/usd-brl-contracts?page=chart&amp;symbol=L6K25" xr:uid="{3333B667-9FF8-B64A-8035-62FF8DB23E84}"/>
    <hyperlink ref="A33" r:id="rId32" display="https://it.investing.com/currencies/usd-brl-contracts?page=chart&amp;symbol=L6M25" xr:uid="{8E5E1B29-1AC0-D94B-9D22-059251AB5D67}"/>
    <hyperlink ref="A34" r:id="rId33" display="https://it.investing.com/currencies/usd-brl-contracts?page=chart&amp;symbol=L6N25" xr:uid="{6C9B3DC9-5B88-1045-9C84-F9CE79CA3B37}"/>
    <hyperlink ref="A35" r:id="rId34" display="https://it.investing.com/currencies/usd-brl-contracts?page=chart&amp;symbol=L6Q25" xr:uid="{15B006D4-A9DF-854A-8231-08F86048FEAA}"/>
    <hyperlink ref="A36" r:id="rId35" display="https://it.investing.com/currencies/usd-brl-contracts?page=chart&amp;symbol=L6U25" xr:uid="{BDB37456-D136-4545-8F81-EA10444E22CE}"/>
    <hyperlink ref="A37" r:id="rId36" display="https://it.investing.com/currencies/usd-brl-contracts?page=chart&amp;symbol=L6V25" xr:uid="{FE27D6CB-0B0A-604B-A6B1-B4D51C260DBA}"/>
    <hyperlink ref="A38" r:id="rId37" display="https://it.investing.com/currencies/usd-brl-contracts?page=chart&amp;symbol=L6X25" xr:uid="{52E8953A-8448-9041-922A-F39B8BAE6336}"/>
    <hyperlink ref="A39" r:id="rId38" display="https://it.investing.com/currencies/usd-brl-contracts?page=chart&amp;symbol=L6Z25" xr:uid="{D9600457-D127-4740-9C5C-02A6D4FE2C60}"/>
    <hyperlink ref="A40" r:id="rId39" display="https://it.investing.com/currencies/usd-brl-contracts?page=chart&amp;symbol=L6F26" xr:uid="{F019F4F3-0BF9-1342-BE23-B1AD851FFA96}"/>
    <hyperlink ref="A41" r:id="rId40" display="https://it.investing.com/currencies/usd-brl-contracts?page=chart&amp;symbol=L6G26" xr:uid="{07C94C0A-F629-CA4A-8639-DF7E09B39A8F}"/>
    <hyperlink ref="A42" r:id="rId41" display="https://it.investing.com/currencies/usd-brl-contracts?page=chart&amp;symbol=L6H26" xr:uid="{301AE33E-412A-5B46-B3EC-F8890365B7EB}"/>
    <hyperlink ref="A43" r:id="rId42" display="https://it.investing.com/currencies/usd-brl-contracts?page=chart&amp;symbol=L6J26" xr:uid="{098126E2-F537-7848-BAFA-2EB7A7E98802}"/>
    <hyperlink ref="A44" r:id="rId43" display="https://it.investing.com/currencies/usd-brl-contracts?page=chart&amp;symbol=L6K26" xr:uid="{3D343E71-D10B-3740-9213-FE66AA73099C}"/>
    <hyperlink ref="A45" r:id="rId44" display="https://it.investing.com/currencies/usd-brl-contracts?page=chart&amp;symbol=L6M26" xr:uid="{D05B4988-7366-C143-B974-8D57E4BF30E8}"/>
    <hyperlink ref="A46" r:id="rId45" display="https://it.investing.com/currencies/usd-brl-contracts?page=chart&amp;symbol=L6N26" xr:uid="{8AA238A8-9746-5641-BBF2-86CC64EAE439}"/>
    <hyperlink ref="A47" r:id="rId46" display="https://it.investing.com/currencies/usd-brl-contracts?page=chart&amp;symbol=L6Q26" xr:uid="{9A191ED6-E788-0044-8E90-87138236295C}"/>
    <hyperlink ref="A48" r:id="rId47" display="https://it.investing.com/currencies/usd-brl-contracts?page=chart&amp;symbol=L6U26" xr:uid="{25B6687A-B962-C142-BCA4-D4DC37F25865}"/>
    <hyperlink ref="A49" r:id="rId48" display="https://it.investing.com/currencies/usd-brl-contracts?page=chart&amp;symbol=L6V26" xr:uid="{42533240-1551-BA45-BC9F-C740AC3A88C5}"/>
    <hyperlink ref="A50" r:id="rId49" display="https://it.investing.com/currencies/usd-brl-contracts?page=chart&amp;symbol=L6X26" xr:uid="{9A068844-70B9-154E-BA6B-081AB019F176}"/>
    <hyperlink ref="A51" r:id="rId50" display="https://it.investing.com/currencies/usd-brl-contracts?page=chart&amp;symbol=L6Z26" xr:uid="{788AD277-A755-EF43-ABEE-2F02B23EEDAC}"/>
    <hyperlink ref="A52" r:id="rId51" display="https://it.investing.com/currencies/usd-brl-contracts?page=chart&amp;symbol=L6F27" xr:uid="{19F08101-773A-B84B-A516-7BCEFCF3DDFB}"/>
    <hyperlink ref="A53" r:id="rId52" display="https://it.investing.com/currencies/usd-brl-contracts?page=chart&amp;symbol=L6G27" xr:uid="{1C051992-5AB3-524D-A1ED-BD3E52C4D8DC}"/>
    <hyperlink ref="A54" r:id="rId53" display="https://it.investing.com/currencies/usd-brl-contracts?page=chart&amp;symbol=L6H27" xr:uid="{7B021DE9-8087-F843-AF91-00E61F4FC1EE}"/>
    <hyperlink ref="A55" r:id="rId54" display="https://it.investing.com/currencies/usd-brl-contracts?page=chart&amp;symbol=L6J27" xr:uid="{9BB5DDF1-7F80-F742-810A-F026FBCA3826}"/>
    <hyperlink ref="A56" r:id="rId55" display="https://it.investing.com/currencies/usd-brl-contracts?page=chart&amp;symbol=L6K27" xr:uid="{426F1F99-505F-1547-8E5A-B24477C788EF}"/>
    <hyperlink ref="A57" r:id="rId56" display="https://it.investing.com/currencies/usd-brl-contracts?page=chart&amp;symbol=L6M27" xr:uid="{8D735E0E-DA02-D64E-AEB2-4C14F67740AD}"/>
    <hyperlink ref="A58" r:id="rId57" display="https://it.investing.com/currencies/usd-brl-contracts?page=chart&amp;symbol=L6N27" xr:uid="{83839211-120F-CE43-BC02-71C7CE47DA36}"/>
    <hyperlink ref="A59" r:id="rId58" display="https://it.investing.com/currencies/usd-brl-contracts?page=chart&amp;symbol=L6Q27" xr:uid="{88338656-3AFE-4C49-825F-B63DCA7DDA67}"/>
    <hyperlink ref="A60" r:id="rId59" display="https://it.investing.com/currencies/usd-brl-contracts?page=chart&amp;symbol=L6U27" xr:uid="{B4076316-0F56-C740-B84A-34868EFA6960}"/>
    <hyperlink ref="A61" r:id="rId60" display="https://it.investing.com/currencies/usd-brl-contracts?page=chart&amp;symbol=L6V27" xr:uid="{8994135C-8496-6A49-93C5-9956C3CB3770}"/>
    <hyperlink ref="A62" r:id="rId61" display="https://it.investing.com/currencies/usd-brl-contracts?page=chart&amp;symbol=L6X27" xr:uid="{A954219A-4720-324D-A576-3B2F701A75B1}"/>
  </hyperlinks>
  <pageMargins left="0.7" right="0.7" top="0.75" bottom="0.75" header="0.3" footer="0.3"/>
  <drawing r:id="rId6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DD37A-7923-45E9-9F94-1150BF69872A}">
  <sheetPr>
    <tabColor theme="9" tint="0.79998168889431442"/>
  </sheetPr>
  <dimension ref="A1:XFB30"/>
  <sheetViews>
    <sheetView zoomScale="58" workbookViewId="0">
      <selection sqref="A1:I4"/>
    </sheetView>
  </sheetViews>
  <sheetFormatPr baseColWidth="10" defaultColWidth="8.83203125" defaultRowHeight="16" x14ac:dyDescent="0.2"/>
  <cols>
    <col min="1" max="1" width="11.33203125" style="251" customWidth="1"/>
    <col min="2" max="2" width="13.6640625" style="251" customWidth="1"/>
    <col min="3" max="3" width="44" style="251" bestFit="1" customWidth="1"/>
    <col min="4" max="4" width="9.83203125" style="251" bestFit="1" customWidth="1"/>
    <col min="5" max="7" width="17" style="251" bestFit="1" customWidth="1"/>
    <col min="8" max="8" width="19.83203125" style="251" bestFit="1" customWidth="1"/>
    <col min="9" max="9" width="24.1640625" style="251" bestFit="1" customWidth="1"/>
    <col min="10" max="10" width="28.1640625" style="251" bestFit="1" customWidth="1"/>
    <col min="11" max="11" width="32" style="251" bestFit="1" customWidth="1"/>
    <col min="12" max="12" width="36.1640625" style="251" bestFit="1" customWidth="1"/>
    <col min="13" max="13" width="40.1640625" style="251" bestFit="1" customWidth="1"/>
    <col min="14" max="16384" width="8.83203125" style="251"/>
  </cols>
  <sheetData>
    <row r="1" spans="1:13" s="40" customFormat="1" ht="13" x14ac:dyDescent="0.15">
      <c r="A1" s="1188" t="s">
        <v>24</v>
      </c>
      <c r="B1" s="1188"/>
      <c r="C1" s="1188"/>
      <c r="D1" s="1188"/>
      <c r="E1" s="1188"/>
      <c r="F1" s="1188"/>
      <c r="G1" s="1188"/>
      <c r="H1" s="1188"/>
      <c r="I1" s="1188"/>
    </row>
    <row r="2" spans="1:13" s="40" customFormat="1" ht="13" x14ac:dyDescent="0.15">
      <c r="A2" s="1188"/>
      <c r="B2" s="1188"/>
      <c r="C2" s="1188"/>
      <c r="D2" s="1188"/>
      <c r="E2" s="1188"/>
      <c r="F2" s="1188"/>
      <c r="G2" s="1188"/>
      <c r="H2" s="1188"/>
      <c r="I2" s="1188"/>
    </row>
    <row r="3" spans="1:13" s="40" customFormat="1" ht="13" x14ac:dyDescent="0.15">
      <c r="A3" s="1188"/>
      <c r="B3" s="1188"/>
      <c r="C3" s="1188"/>
      <c r="D3" s="1188"/>
      <c r="E3" s="1188"/>
      <c r="F3" s="1188"/>
      <c r="G3" s="1188"/>
      <c r="H3" s="1188"/>
      <c r="I3" s="1188"/>
    </row>
    <row r="4" spans="1:13" s="41" customFormat="1" ht="14" thickBot="1" x14ac:dyDescent="0.2">
      <c r="A4" s="1188"/>
      <c r="B4" s="1188"/>
      <c r="C4" s="1188"/>
      <c r="D4" s="1188"/>
      <c r="E4" s="1188"/>
      <c r="F4" s="1188"/>
      <c r="G4" s="1188"/>
      <c r="H4" s="1188"/>
      <c r="I4" s="1188"/>
    </row>
    <row r="5" spans="1:13" s="1" customFormat="1" ht="14" thickTop="1" x14ac:dyDescent="0.15"/>
    <row r="6" spans="1:13" s="1" customFormat="1" ht="13" x14ac:dyDescent="0.15"/>
    <row r="7" spans="1:13" s="1" customFormat="1" ht="13" x14ac:dyDescent="0.15"/>
    <row r="8" spans="1:13" s="1" customFormat="1" ht="16" customHeight="1" thickBot="1" x14ac:dyDescent="0.25">
      <c r="A8" s="3" t="s">
        <v>25</v>
      </c>
      <c r="B8" s="5"/>
      <c r="C8" s="1189" t="s">
        <v>26</v>
      </c>
      <c r="D8" s="1189"/>
      <c r="E8" s="67">
        <v>2019</v>
      </c>
      <c r="F8" s="67">
        <v>2020</v>
      </c>
      <c r="G8" s="67">
        <v>2021</v>
      </c>
      <c r="H8" s="68" t="s">
        <v>0</v>
      </c>
      <c r="I8" s="68" t="s">
        <v>1</v>
      </c>
      <c r="J8" s="68" t="s">
        <v>2</v>
      </c>
      <c r="K8" s="68" t="s">
        <v>3</v>
      </c>
      <c r="L8" s="68" t="s">
        <v>4</v>
      </c>
      <c r="M8" s="68" t="s">
        <v>5</v>
      </c>
    </row>
    <row r="9" spans="1:13" s="1" customFormat="1" ht="15.5" customHeight="1" x14ac:dyDescent="0.15">
      <c r="A9" s="1186" t="s">
        <v>1169</v>
      </c>
      <c r="B9" s="1183" t="s">
        <v>1170</v>
      </c>
      <c r="C9" s="1190" t="s">
        <v>1171</v>
      </c>
      <c r="D9" s="1190"/>
      <c r="E9" s="448">
        <f>+Cargo!D13</f>
        <v>6356.6696767127796</v>
      </c>
      <c r="F9" s="448">
        <f>+Cargo!E13</f>
        <v>4708.2547560331859</v>
      </c>
      <c r="G9" s="448">
        <f>+Cargo!F13</f>
        <v>4788.0802441418355</v>
      </c>
      <c r="H9" s="448">
        <f>+Cargo!G13</f>
        <v>6583.6103356950234</v>
      </c>
      <c r="I9" s="448">
        <f>+Cargo!H13</f>
        <v>7930.2579043599153</v>
      </c>
      <c r="J9" s="448">
        <f>+Cargo!I13</f>
        <v>8379.1404272482123</v>
      </c>
      <c r="K9" s="448">
        <f>+Cargo!J13</f>
        <v>8659.8416315610284</v>
      </c>
      <c r="L9" s="448">
        <f>+Cargo!K13</f>
        <v>8502.4490099074064</v>
      </c>
      <c r="M9" s="448">
        <f>+Cargo!L13</f>
        <v>8787.2810517393045</v>
      </c>
    </row>
    <row r="10" spans="1:13" s="1" customFormat="1" ht="15.5" customHeight="1" x14ac:dyDescent="0.15">
      <c r="A10" s="1187"/>
      <c r="B10" s="1184"/>
      <c r="C10" s="1182" t="s">
        <v>30</v>
      </c>
      <c r="D10" s="1182"/>
      <c r="E10" s="66"/>
      <c r="F10" s="69">
        <f t="shared" ref="F10:M10" si="0">F9/E9-1</f>
        <v>-0.25932052545037032</v>
      </c>
      <c r="G10" s="69">
        <f t="shared" si="0"/>
        <v>1.6954368921171969E-2</v>
      </c>
      <c r="H10" s="69">
        <f t="shared" si="0"/>
        <v>0.375</v>
      </c>
      <c r="I10" s="69">
        <f t="shared" si="0"/>
        <v>0.20454545454545459</v>
      </c>
      <c r="J10" s="69">
        <f t="shared" si="0"/>
        <v>5.6603773584905648E-2</v>
      </c>
      <c r="K10" s="69">
        <f t="shared" si="0"/>
        <v>3.3500000000000085E-2</v>
      </c>
      <c r="L10" s="69">
        <f t="shared" si="0"/>
        <v>-1.8175000000000052E-2</v>
      </c>
      <c r="M10" s="69">
        <f t="shared" si="0"/>
        <v>3.3500000000000085E-2</v>
      </c>
    </row>
    <row r="11" spans="1:13" s="1" customFormat="1" ht="15.5" customHeight="1" x14ac:dyDescent="0.15">
      <c r="A11" s="1187"/>
      <c r="B11" s="1184"/>
      <c r="C11" s="1" t="s">
        <v>1172</v>
      </c>
      <c r="D11" s="460">
        <f>+AVERAGE(Cargo!$D$28:$S$28)</f>
        <v>0.59150095078888021</v>
      </c>
      <c r="E11" s="66"/>
      <c r="F11" s="69"/>
      <c r="G11" s="69"/>
      <c r="H11" s="69"/>
      <c r="I11" s="69"/>
      <c r="J11" s="69"/>
      <c r="K11" s="69"/>
      <c r="L11" s="69"/>
      <c r="M11" s="69"/>
    </row>
    <row r="12" spans="1:13" s="1" customFormat="1" ht="15.5" customHeight="1" x14ac:dyDescent="0.15">
      <c r="A12" s="1187"/>
      <c r="B12" s="1184"/>
      <c r="C12" s="1" t="s">
        <v>1173</v>
      </c>
      <c r="D12" s="461">
        <f>+AVERAGE(Cargo!$D$28:$AI$28)</f>
        <v>0.56478729722022947</v>
      </c>
      <c r="E12" s="66"/>
      <c r="F12" s="69"/>
      <c r="G12" s="69"/>
      <c r="H12" s="69"/>
      <c r="I12" s="69"/>
      <c r="J12" s="69"/>
      <c r="K12" s="69"/>
      <c r="L12" s="69"/>
      <c r="M12" s="69"/>
    </row>
    <row r="13" spans="1:13" s="1" customFormat="1" ht="16" customHeight="1" x14ac:dyDescent="0.15">
      <c r="A13" s="1187"/>
      <c r="B13" s="1184"/>
      <c r="C13" s="1" t="s">
        <v>1174</v>
      </c>
      <c r="D13" s="454"/>
      <c r="E13" s="458">
        <f>+Cargo!D16</f>
        <v>0.55469020114944201</v>
      </c>
      <c r="F13" s="458">
        <f>+Cargo!E16</f>
        <v>0.65369858974102923</v>
      </c>
      <c r="G13" s="458">
        <f>+Cargo!F16</f>
        <v>0.63383686357762181</v>
      </c>
      <c r="H13" s="458">
        <f>+$D$11</f>
        <v>0.59150095078888021</v>
      </c>
      <c r="I13" s="458">
        <f>+$D$11</f>
        <v>0.59150095078888021</v>
      </c>
      <c r="J13" s="458">
        <v>0.56478729722022947</v>
      </c>
      <c r="K13" s="458">
        <f>+$D$12</f>
        <v>0.56478729722022947</v>
      </c>
      <c r="L13" s="458">
        <f>+$D$12</f>
        <v>0.56478729722022947</v>
      </c>
      <c r="M13" s="458">
        <f>+$D$12</f>
        <v>0.56478729722022947</v>
      </c>
    </row>
    <row r="14" spans="1:13" s="1" customFormat="1" ht="16" customHeight="1" x14ac:dyDescent="0.15">
      <c r="A14" s="1187"/>
      <c r="B14" s="1184"/>
      <c r="C14" s="440" t="s">
        <v>1175</v>
      </c>
      <c r="D14" s="4"/>
      <c r="E14" s="459">
        <f t="shared" ref="E14:M14" si="1">+E9*E13</f>
        <v>3525.9823816163703</v>
      </c>
      <c r="F14" s="459">
        <f t="shared" si="1"/>
        <v>3077.7794941603875</v>
      </c>
      <c r="G14" s="459">
        <f t="shared" si="1"/>
        <v>3034.8617645048348</v>
      </c>
      <c r="H14" s="459">
        <f t="shared" si="1"/>
        <v>3894.2117731871053</v>
      </c>
      <c r="I14" s="459">
        <f t="shared" si="1"/>
        <v>4690.7550904299223</v>
      </c>
      <c r="J14" s="459">
        <f t="shared" si="1"/>
        <v>4732.4320749342769</v>
      </c>
      <c r="K14" s="459">
        <f t="shared" si="1"/>
        <v>4890.9685494445757</v>
      </c>
      <c r="L14" s="459">
        <f t="shared" si="1"/>
        <v>4802.0751960584203</v>
      </c>
      <c r="M14" s="459">
        <f t="shared" si="1"/>
        <v>4962.9447151263776</v>
      </c>
    </row>
    <row r="15" spans="1:13" s="1" customFormat="1" ht="16" customHeight="1" x14ac:dyDescent="0.15">
      <c r="A15" s="1187"/>
      <c r="B15" s="1184"/>
      <c r="C15" s="1182" t="s">
        <v>30</v>
      </c>
      <c r="D15" s="1182"/>
      <c r="E15" s="66"/>
      <c r="F15" s="69">
        <f t="shared" ref="F15:M15" si="2">F14/E14-1</f>
        <v>-0.12711432983692872</v>
      </c>
      <c r="G15" s="69">
        <f t="shared" si="2"/>
        <v>-1.394438092039485E-2</v>
      </c>
      <c r="H15" s="69">
        <f t="shared" si="2"/>
        <v>0.28315952269492617</v>
      </c>
      <c r="I15" s="69">
        <f t="shared" si="2"/>
        <v>0.20454545454545459</v>
      </c>
      <c r="J15" s="69">
        <f t="shared" si="2"/>
        <v>8.884920167625765E-3</v>
      </c>
      <c r="K15" s="69">
        <f t="shared" si="2"/>
        <v>3.3500000000000085E-2</v>
      </c>
      <c r="L15" s="69">
        <f t="shared" si="2"/>
        <v>-1.8175000000000052E-2</v>
      </c>
      <c r="M15" s="69">
        <f t="shared" si="2"/>
        <v>3.3500000000000085E-2</v>
      </c>
    </row>
    <row r="16" spans="1:13" s="1" customFormat="1" ht="16" customHeight="1" x14ac:dyDescent="0.15">
      <c r="A16" s="1187"/>
      <c r="B16" s="1184"/>
      <c r="E16" s="391"/>
      <c r="F16" s="391"/>
      <c r="G16" s="391"/>
      <c r="H16" s="391"/>
      <c r="I16" s="391"/>
      <c r="J16" s="391"/>
      <c r="K16" s="391"/>
      <c r="L16" s="391"/>
      <c r="M16" s="391"/>
    </row>
    <row r="17" spans="1:16382" s="1" customFormat="1" ht="16" customHeight="1" x14ac:dyDescent="0.2">
      <c r="A17" s="1187"/>
      <c r="B17" s="1184"/>
      <c r="C17" s="456" t="s">
        <v>1176</v>
      </c>
      <c r="D17" s="455">
        <f>+POWER(M14/F14,1/7)-1</f>
        <v>7.0639183265447159E-2</v>
      </c>
    </row>
    <row r="18" spans="1:16382" s="1" customFormat="1" ht="19" customHeight="1" thickBot="1" x14ac:dyDescent="0.2">
      <c r="A18" s="1187"/>
      <c r="B18" s="1185"/>
      <c r="C18" s="1" t="s">
        <v>38</v>
      </c>
      <c r="D18" s="455">
        <f>H9/E9</f>
        <v>1.0357011879685405</v>
      </c>
    </row>
    <row r="19" spans="1:16382" s="1" customFormat="1" ht="12" customHeight="1" x14ac:dyDescent="0.15">
      <c r="A19" s="1187"/>
    </row>
    <row r="20" spans="1:16382" s="1" customFormat="1" ht="14" thickBot="1" x14ac:dyDescent="0.2">
      <c r="A20" s="1187"/>
      <c r="B20" s="226"/>
    </row>
    <row r="21" spans="1:16382" s="1" customFormat="1" ht="16" customHeight="1" x14ac:dyDescent="0.15">
      <c r="A21" s="1187"/>
      <c r="B21" s="1183" t="s">
        <v>1177</v>
      </c>
      <c r="C21" s="1" t="s">
        <v>1178</v>
      </c>
      <c r="D21" s="451">
        <f>+AVERAGE(Cargo!$D$43:$S$43)</f>
        <v>42.393959745499686</v>
      </c>
      <c r="E21" s="70"/>
      <c r="F21" s="70"/>
      <c r="G21" s="70"/>
      <c r="H21" s="234"/>
      <c r="I21" s="234"/>
      <c r="J21" s="234"/>
      <c r="K21" s="234"/>
      <c r="L21" s="234"/>
      <c r="M21" s="234"/>
    </row>
    <row r="22" spans="1:16382" s="1" customFormat="1" ht="16" customHeight="1" x14ac:dyDescent="0.2">
      <c r="A22" s="1187"/>
      <c r="B22" s="1184"/>
      <c r="C22" s="1" t="s">
        <v>1179</v>
      </c>
      <c r="E22" s="452">
        <v>16.745152007811267</v>
      </c>
      <c r="F22" s="453">
        <v>25.697271339228955</v>
      </c>
      <c r="G22" s="453">
        <v>32.200000000000003</v>
      </c>
      <c r="H22" s="453">
        <f>+Cargo!C87</f>
        <v>28.137406357147935</v>
      </c>
      <c r="I22" s="453">
        <f>+Cargo!D87</f>
        <v>25.948911055133141</v>
      </c>
      <c r="J22" s="453">
        <f>+Cargo!E87</f>
        <v>21.409470637925576</v>
      </c>
      <c r="K22" s="453">
        <f>+Cargo!F87</f>
        <v>21.409470637925576</v>
      </c>
      <c r="L22" s="453">
        <f>+Cargo!G87</f>
        <v>20.161770506148589</v>
      </c>
      <c r="M22" s="453">
        <f>+Cargo!H87</f>
        <v>20.161770506148589</v>
      </c>
    </row>
    <row r="23" spans="1:16382" s="1" customFormat="1" ht="16" customHeight="1" x14ac:dyDescent="0.2">
      <c r="A23" s="1187"/>
      <c r="B23" s="1184"/>
      <c r="C23" s="1" t="s">
        <v>1180</v>
      </c>
      <c r="E23" s="452">
        <v>30.188296049058685</v>
      </c>
      <c r="F23" s="453">
        <v>39.310580965776971</v>
      </c>
      <c r="G23" s="453">
        <v>50.797522489773073</v>
      </c>
      <c r="H23" s="453">
        <f t="shared" ref="H23:M23" si="3">+H22*H9/H14</f>
        <v>47.569503175981872</v>
      </c>
      <c r="I23" s="453">
        <f t="shared" si="3"/>
        <v>43.869601596625131</v>
      </c>
      <c r="J23" s="453">
        <f t="shared" si="3"/>
        <v>37.907139100505134</v>
      </c>
      <c r="K23" s="453">
        <f t="shared" si="3"/>
        <v>37.907139100505134</v>
      </c>
      <c r="L23" s="453">
        <f t="shared" si="3"/>
        <v>35.697988615149107</v>
      </c>
      <c r="M23" s="453">
        <f t="shared" si="3"/>
        <v>35.697988615149107</v>
      </c>
    </row>
    <row r="24" spans="1:16382" s="1" customFormat="1" ht="44.5" customHeight="1" thickBot="1" x14ac:dyDescent="0.2">
      <c r="A24" s="1187"/>
      <c r="B24" s="1184"/>
      <c r="C24" s="904" t="s">
        <v>1181</v>
      </c>
      <c r="D24" s="905"/>
      <c r="E24" s="906">
        <f t="shared" ref="E24:M24" si="4">+E9*E22/100</f>
        <v>1064.434</v>
      </c>
      <c r="F24" s="906">
        <f t="shared" si="4"/>
        <v>1209.893</v>
      </c>
      <c r="G24" s="906">
        <f t="shared" si="4"/>
        <v>1541.7618386136712</v>
      </c>
      <c r="H24" s="906">
        <f t="shared" si="4"/>
        <v>1852.4571931257001</v>
      </c>
      <c r="I24" s="906">
        <f t="shared" si="4"/>
        <v>2057.8155700450197</v>
      </c>
      <c r="J24" s="906">
        <f t="shared" si="4"/>
        <v>1793.9296094822578</v>
      </c>
      <c r="K24" s="906">
        <f t="shared" si="4"/>
        <v>1854.0262513999135</v>
      </c>
      <c r="L24" s="906">
        <f t="shared" si="4"/>
        <v>1714.2442567798341</v>
      </c>
      <c r="M24" s="906">
        <f t="shared" si="4"/>
        <v>1771.6714393819586</v>
      </c>
    </row>
    <row r="25" spans="1:16382" s="1" customFormat="1" ht="16" customHeight="1" thickTop="1" x14ac:dyDescent="0.15">
      <c r="A25" s="1187"/>
      <c r="B25" s="1184"/>
      <c r="C25" s="1094" t="s">
        <v>1182</v>
      </c>
      <c r="D25" s="1095"/>
      <c r="E25" s="1095"/>
      <c r="F25" s="1096">
        <f t="shared" ref="F25:M25" si="5">F24/E24-1</f>
        <v>0.1366538460815796</v>
      </c>
      <c r="G25" s="1096">
        <f t="shared" si="5"/>
        <v>0.27429602337865511</v>
      </c>
      <c r="H25" s="1096">
        <f t="shared" si="5"/>
        <v>0.20151968139995047</v>
      </c>
      <c r="I25" s="1096">
        <f t="shared" si="5"/>
        <v>0.11085728603143208</v>
      </c>
      <c r="J25" s="1096">
        <f t="shared" si="5"/>
        <v>-0.12823596264119475</v>
      </c>
      <c r="K25" s="1096">
        <f t="shared" si="5"/>
        <v>3.3500000000000085E-2</v>
      </c>
      <c r="L25" s="1096">
        <f t="shared" si="5"/>
        <v>-7.539375157958772E-2</v>
      </c>
      <c r="M25" s="1096">
        <f t="shared" si="5"/>
        <v>3.3500000000000085E-2</v>
      </c>
    </row>
    <row r="26" spans="1:16382" s="1" customFormat="1" ht="16" customHeight="1" x14ac:dyDescent="0.2">
      <c r="A26" s="1187"/>
      <c r="B26" s="1184"/>
      <c r="C26" s="1097" t="s">
        <v>34</v>
      </c>
      <c r="D26" s="1098">
        <f>(M24/G24)^(1/6)-1</f>
        <v>2.3436689403700139E-2</v>
      </c>
      <c r="E26" s="1099"/>
      <c r="F26" s="1100"/>
      <c r="G26" s="1100"/>
      <c r="H26" s="1100"/>
      <c r="I26" s="1100"/>
      <c r="J26" s="1100"/>
      <c r="K26" s="1101"/>
      <c r="L26" s="1101"/>
      <c r="M26" s="1101"/>
    </row>
    <row r="27" spans="1:16382" s="1" customFormat="1" ht="16" customHeight="1" x14ac:dyDescent="0.2">
      <c r="A27" s="1187"/>
      <c r="B27" s="1184"/>
      <c r="C27" s="1097" t="s">
        <v>1183</v>
      </c>
      <c r="D27" s="1098">
        <f>(M24/F24)^(1/7)-1</f>
        <v>5.5996107002820761E-2</v>
      </c>
      <c r="E27" s="1099"/>
      <c r="F27" s="1099"/>
      <c r="G27" s="1099"/>
      <c r="H27" s="1099"/>
      <c r="I27" s="1099"/>
      <c r="J27" s="1099"/>
      <c r="K27" s="1099"/>
      <c r="L27" s="1099"/>
      <c r="M27" s="1099"/>
    </row>
    <row r="28" spans="1:16382" s="1" customFormat="1" ht="16" customHeight="1" x14ac:dyDescent="0.2">
      <c r="A28" s="1187"/>
      <c r="B28" s="1184"/>
      <c r="C28" s="1097"/>
      <c r="D28" s="1098"/>
      <c r="E28" s="1099"/>
      <c r="F28" s="1099"/>
      <c r="G28" s="1099"/>
      <c r="H28" s="1099"/>
      <c r="I28" s="1099"/>
      <c r="J28" s="1099"/>
      <c r="K28" s="1099"/>
      <c r="L28" s="1099"/>
      <c r="M28" s="1099"/>
    </row>
    <row r="29" spans="1:16382" s="1" customFormat="1" ht="16" customHeight="1" x14ac:dyDescent="0.15">
      <c r="A29" s="1187"/>
      <c r="B29" s="1184"/>
      <c r="C29" s="1102"/>
      <c r="D29" s="1100"/>
      <c r="E29" s="1099"/>
      <c r="F29" s="1099"/>
      <c r="G29" s="1099"/>
      <c r="H29" s="1099"/>
      <c r="I29" s="1099"/>
      <c r="J29" s="1099"/>
      <c r="K29" s="1099"/>
      <c r="L29" s="1099"/>
      <c r="M29" s="1099"/>
    </row>
    <row r="30" spans="1:16382" customFormat="1" ht="17" thickBot="1" x14ac:dyDescent="0.25">
      <c r="A30" s="1187"/>
      <c r="B30" s="1185"/>
      <c r="C30" s="1103" t="s">
        <v>38</v>
      </c>
      <c r="D30" s="1104">
        <f>+H24/E24</f>
        <v>1.7403213286363459</v>
      </c>
      <c r="E30" s="2"/>
      <c r="F30" s="2"/>
      <c r="G30" s="2"/>
      <c r="H30" s="2"/>
      <c r="I30" s="2"/>
      <c r="J30" s="2"/>
      <c r="K30" s="2"/>
      <c r="L30" s="2"/>
      <c r="M30" s="2"/>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c r="ADD30" s="1"/>
      <c r="ADE30" s="1"/>
      <c r="ADF30" s="1"/>
      <c r="ADG30" s="1"/>
      <c r="ADH30" s="1"/>
      <c r="ADI30" s="1"/>
      <c r="ADJ30" s="1"/>
      <c r="ADK30" s="1"/>
      <c r="ADL30" s="1"/>
      <c r="ADM30" s="1"/>
      <c r="ADN30" s="1"/>
      <c r="ADO30" s="1"/>
      <c r="ADP30" s="1"/>
      <c r="ADQ30" s="1"/>
      <c r="ADR30" s="1"/>
      <c r="ADS30" s="1"/>
      <c r="ADT30" s="1"/>
      <c r="ADU30" s="1"/>
      <c r="ADV30" s="1"/>
      <c r="ADW30" s="1"/>
      <c r="ADX30" s="1"/>
      <c r="ADY30" s="1"/>
      <c r="ADZ30" s="1"/>
      <c r="AEA30" s="1"/>
      <c r="AEB30" s="1"/>
      <c r="AEC30" s="1"/>
      <c r="AED30" s="1"/>
      <c r="AEE30" s="1"/>
      <c r="AEF30" s="1"/>
      <c r="AEG30" s="1"/>
      <c r="AEH30" s="1"/>
      <c r="AEI30" s="1"/>
      <c r="AEJ30" s="1"/>
      <c r="AEK30" s="1"/>
      <c r="AEL30" s="1"/>
      <c r="AEM30" s="1"/>
      <c r="AEN30" s="1"/>
      <c r="AEO30" s="1"/>
      <c r="AEP30" s="1"/>
      <c r="AEQ30" s="1"/>
      <c r="AER30" s="1"/>
      <c r="AES30" s="1"/>
      <c r="AET30" s="1"/>
      <c r="AEU30" s="1"/>
      <c r="AEV30" s="1"/>
      <c r="AEW30" s="1"/>
      <c r="AEX30" s="1"/>
      <c r="AEY30" s="1"/>
      <c r="AEZ30" s="1"/>
      <c r="AFA30" s="1"/>
      <c r="AFB30" s="1"/>
      <c r="AFC30" s="1"/>
      <c r="AFD30" s="1"/>
      <c r="AFE30" s="1"/>
      <c r="AFF30" s="1"/>
      <c r="AFG30" s="1"/>
      <c r="AFH30" s="1"/>
      <c r="AFI30" s="1"/>
      <c r="AFJ30" s="1"/>
      <c r="AFK30" s="1"/>
      <c r="AFL30" s="1"/>
      <c r="AFM30" s="1"/>
      <c r="AFN30" s="1"/>
      <c r="AFO30" s="1"/>
      <c r="AFP30" s="1"/>
      <c r="AFQ30" s="1"/>
      <c r="AFR30" s="1"/>
      <c r="AFS30" s="1"/>
      <c r="AFT30" s="1"/>
      <c r="AFU30" s="1"/>
      <c r="AFV30" s="1"/>
      <c r="AFW30" s="1"/>
      <c r="AFX30" s="1"/>
      <c r="AFY30" s="1"/>
      <c r="AFZ30" s="1"/>
      <c r="AGA30" s="1"/>
      <c r="AGB30" s="1"/>
      <c r="AGC30" s="1"/>
      <c r="AGD30" s="1"/>
      <c r="AGE30" s="1"/>
      <c r="AGF30" s="1"/>
      <c r="AGG30" s="1"/>
      <c r="AGH30" s="1"/>
      <c r="AGI30" s="1"/>
      <c r="AGJ30" s="1"/>
      <c r="AGK30" s="1"/>
      <c r="AGL30" s="1"/>
      <c r="AGM30" s="1"/>
      <c r="AGN30" s="1"/>
      <c r="AGO30" s="1"/>
      <c r="AGP30" s="1"/>
      <c r="AGQ30" s="1"/>
      <c r="AGR30" s="1"/>
      <c r="AGS30" s="1"/>
      <c r="AGT30" s="1"/>
      <c r="AGU30" s="1"/>
      <c r="AGV30" s="1"/>
      <c r="AGW30" s="1"/>
      <c r="AGX30" s="1"/>
      <c r="AGY30" s="1"/>
      <c r="AGZ30" s="1"/>
      <c r="AHA30" s="1"/>
      <c r="AHB30" s="1"/>
      <c r="AHC30" s="1"/>
      <c r="AHD30" s="1"/>
      <c r="AHE30" s="1"/>
      <c r="AHF30" s="1"/>
      <c r="AHG30" s="1"/>
      <c r="AHH30" s="1"/>
      <c r="AHI30" s="1"/>
      <c r="AHJ30" s="1"/>
      <c r="AHK30" s="1"/>
      <c r="AHL30" s="1"/>
      <c r="AHM30" s="1"/>
      <c r="AHN30" s="1"/>
      <c r="AHO30" s="1"/>
      <c r="AHP30" s="1"/>
      <c r="AHQ30" s="1"/>
      <c r="AHR30" s="1"/>
      <c r="AHS30" s="1"/>
      <c r="AHT30" s="1"/>
      <c r="AHU30" s="1"/>
      <c r="AHV30" s="1"/>
      <c r="AHW30" s="1"/>
      <c r="AHX30" s="1"/>
      <c r="AHY30" s="1"/>
      <c r="AHZ30" s="1"/>
      <c r="AIA30" s="1"/>
      <c r="AIB30" s="1"/>
      <c r="AIC30" s="1"/>
      <c r="AID30" s="1"/>
      <c r="AIE30" s="1"/>
      <c r="AIF30" s="1"/>
      <c r="AIG30" s="1"/>
      <c r="AIH30" s="1"/>
      <c r="AII30" s="1"/>
      <c r="AIJ30" s="1"/>
      <c r="AIK30" s="1"/>
      <c r="AIL30" s="1"/>
      <c r="AIM30" s="1"/>
      <c r="AIN30" s="1"/>
      <c r="AIO30" s="1"/>
      <c r="AIP30" s="1"/>
      <c r="AIQ30" s="1"/>
      <c r="AIR30" s="1"/>
      <c r="AIS30" s="1"/>
      <c r="AIT30" s="1"/>
      <c r="AIU30" s="1"/>
      <c r="AIV30" s="1"/>
      <c r="AIW30" s="1"/>
      <c r="AIX30" s="1"/>
      <c r="AIY30" s="1"/>
      <c r="AIZ30" s="1"/>
      <c r="AJA30" s="1"/>
      <c r="AJB30" s="1"/>
      <c r="AJC30" s="1"/>
      <c r="AJD30" s="1"/>
      <c r="AJE30" s="1"/>
      <c r="AJF30" s="1"/>
      <c r="AJG30" s="1"/>
      <c r="AJH30" s="1"/>
      <c r="AJI30" s="1"/>
      <c r="AJJ30" s="1"/>
      <c r="AJK30" s="1"/>
      <c r="AJL30" s="1"/>
      <c r="AJM30" s="1"/>
      <c r="AJN30" s="1"/>
      <c r="AJO30" s="1"/>
      <c r="AJP30" s="1"/>
      <c r="AJQ30" s="1"/>
      <c r="AJR30" s="1"/>
      <c r="AJS30" s="1"/>
      <c r="AJT30" s="1"/>
      <c r="AJU30" s="1"/>
      <c r="AJV30" s="1"/>
      <c r="AJW30" s="1"/>
      <c r="AJX30" s="1"/>
      <c r="AJY30" s="1"/>
      <c r="AJZ30" s="1"/>
      <c r="AKA30" s="1"/>
      <c r="AKB30" s="1"/>
      <c r="AKC30" s="1"/>
      <c r="AKD30" s="1"/>
      <c r="AKE30" s="1"/>
      <c r="AKF30" s="1"/>
      <c r="AKG30" s="1"/>
      <c r="AKH30" s="1"/>
      <c r="AKI30" s="1"/>
      <c r="AKJ30" s="1"/>
      <c r="AKK30" s="1"/>
      <c r="AKL30" s="1"/>
      <c r="AKM30" s="1"/>
      <c r="AKN30" s="1"/>
      <c r="AKO30" s="1"/>
      <c r="AKP30" s="1"/>
      <c r="AKQ30" s="1"/>
      <c r="AKR30" s="1"/>
      <c r="AKS30" s="1"/>
      <c r="AKT30" s="1"/>
      <c r="AKU30" s="1"/>
      <c r="AKV30" s="1"/>
      <c r="AKW30" s="1"/>
      <c r="AKX30" s="1"/>
      <c r="AKY30" s="1"/>
      <c r="AKZ30" s="1"/>
      <c r="ALA30" s="1"/>
      <c r="ALB30" s="1"/>
      <c r="ALC30" s="1"/>
      <c r="ALD30" s="1"/>
      <c r="ALE30" s="1"/>
      <c r="ALF30" s="1"/>
      <c r="ALG30" s="1"/>
      <c r="ALH30" s="1"/>
      <c r="ALI30" s="1"/>
      <c r="ALJ30" s="1"/>
      <c r="ALK30" s="1"/>
      <c r="ALL30" s="1"/>
      <c r="ALM30" s="1"/>
      <c r="ALN30" s="1"/>
      <c r="ALO30" s="1"/>
      <c r="ALP30" s="1"/>
      <c r="ALQ30" s="1"/>
      <c r="ALR30" s="1"/>
      <c r="ALS30" s="1"/>
      <c r="ALT30" s="1"/>
      <c r="ALU30" s="1"/>
      <c r="ALV30" s="1"/>
      <c r="ALW30" s="1"/>
      <c r="ALX30" s="1"/>
      <c r="ALY30" s="1"/>
      <c r="ALZ30" s="1"/>
      <c r="AMA30" s="1"/>
      <c r="AMB30" s="1"/>
      <c r="AMC30" s="1"/>
      <c r="AMD30" s="1"/>
      <c r="AME30" s="1"/>
      <c r="AMF30" s="1"/>
      <c r="AMG30" s="1"/>
      <c r="AMH30" s="1"/>
      <c r="AMI30" s="1"/>
      <c r="AMJ30" s="1"/>
      <c r="AMK30" s="1"/>
      <c r="AML30" s="1"/>
      <c r="AMM30" s="1"/>
      <c r="AMN30" s="1"/>
      <c r="AMO30" s="1"/>
      <c r="AMP30" s="1"/>
      <c r="AMQ30" s="1"/>
      <c r="AMR30" s="1"/>
      <c r="AMS30" s="1"/>
      <c r="AMT30" s="1"/>
      <c r="AMU30" s="1"/>
      <c r="AMV30" s="1"/>
      <c r="AMW30" s="1"/>
      <c r="AMX30" s="1"/>
      <c r="AMY30" s="1"/>
      <c r="AMZ30" s="1"/>
      <c r="ANA30" s="1"/>
      <c r="ANB30" s="1"/>
      <c r="ANC30" s="1"/>
      <c r="AND30" s="1"/>
      <c r="ANE30" s="1"/>
      <c r="ANF30" s="1"/>
      <c r="ANG30" s="1"/>
      <c r="ANH30" s="1"/>
      <c r="ANI30" s="1"/>
      <c r="ANJ30" s="1"/>
      <c r="ANK30" s="1"/>
      <c r="ANL30" s="1"/>
      <c r="ANM30" s="1"/>
      <c r="ANN30" s="1"/>
      <c r="ANO30" s="1"/>
      <c r="ANP30" s="1"/>
      <c r="ANQ30" s="1"/>
      <c r="ANR30" s="1"/>
      <c r="ANS30" s="1"/>
      <c r="ANT30" s="1"/>
      <c r="ANU30" s="1"/>
      <c r="ANV30" s="1"/>
      <c r="ANW30" s="1"/>
      <c r="ANX30" s="1"/>
      <c r="ANY30" s="1"/>
      <c r="ANZ30" s="1"/>
      <c r="AOA30" s="1"/>
      <c r="AOB30" s="1"/>
      <c r="AOC30" s="1"/>
      <c r="AOD30" s="1"/>
      <c r="AOE30" s="1"/>
      <c r="AOF30" s="1"/>
      <c r="AOG30" s="1"/>
      <c r="AOH30" s="1"/>
      <c r="AOI30" s="1"/>
      <c r="AOJ30" s="1"/>
      <c r="AOK30" s="1"/>
      <c r="AOL30" s="1"/>
      <c r="AOM30" s="1"/>
      <c r="AON30" s="1"/>
      <c r="AOO30" s="1"/>
      <c r="AOP30" s="1"/>
      <c r="AOQ30" s="1"/>
      <c r="AOR30" s="1"/>
      <c r="AOS30" s="1"/>
      <c r="AOT30" s="1"/>
      <c r="AOU30" s="1"/>
      <c r="AOV30" s="1"/>
      <c r="AOW30" s="1"/>
      <c r="AOX30" s="1"/>
      <c r="AOY30" s="1"/>
      <c r="AOZ30" s="1"/>
      <c r="APA30" s="1"/>
      <c r="APB30" s="1"/>
      <c r="APC30" s="1"/>
      <c r="APD30" s="1"/>
      <c r="APE30" s="1"/>
      <c r="APF30" s="1"/>
      <c r="APG30" s="1"/>
      <c r="APH30" s="1"/>
      <c r="API30" s="1"/>
      <c r="APJ30" s="1"/>
      <c r="APK30" s="1"/>
      <c r="APL30" s="1"/>
      <c r="APM30" s="1"/>
      <c r="APN30" s="1"/>
      <c r="APO30" s="1"/>
      <c r="APP30" s="1"/>
      <c r="APQ30" s="1"/>
      <c r="APR30" s="1"/>
      <c r="APS30" s="1"/>
      <c r="APT30" s="1"/>
      <c r="APU30" s="1"/>
      <c r="APV30" s="1"/>
      <c r="APW30" s="1"/>
      <c r="APX30" s="1"/>
      <c r="APY30" s="1"/>
      <c r="APZ30" s="1"/>
      <c r="AQA30" s="1"/>
      <c r="AQB30" s="1"/>
      <c r="AQC30" s="1"/>
      <c r="AQD30" s="1"/>
      <c r="AQE30" s="1"/>
      <c r="AQF30" s="1"/>
      <c r="AQG30" s="1"/>
      <c r="AQH30" s="1"/>
      <c r="AQI30" s="1"/>
      <c r="AQJ30" s="1"/>
      <c r="AQK30" s="1"/>
      <c r="AQL30" s="1"/>
      <c r="AQM30" s="1"/>
      <c r="AQN30" s="1"/>
      <c r="AQO30" s="1"/>
      <c r="AQP30" s="1"/>
      <c r="AQQ30" s="1"/>
      <c r="AQR30" s="1"/>
      <c r="AQS30" s="1"/>
      <c r="AQT30" s="1"/>
      <c r="AQU30" s="1"/>
      <c r="AQV30" s="1"/>
      <c r="AQW30" s="1"/>
      <c r="AQX30" s="1"/>
      <c r="AQY30" s="1"/>
      <c r="AQZ30" s="1"/>
      <c r="ARA30" s="1"/>
      <c r="ARB30" s="1"/>
      <c r="ARC30" s="1"/>
      <c r="ARD30" s="1"/>
      <c r="ARE30" s="1"/>
      <c r="ARF30" s="1"/>
      <c r="ARG30" s="1"/>
      <c r="ARH30" s="1"/>
      <c r="ARI30" s="1"/>
      <c r="ARJ30" s="1"/>
      <c r="ARK30" s="1"/>
      <c r="ARL30" s="1"/>
      <c r="ARM30" s="1"/>
      <c r="ARN30" s="1"/>
      <c r="ARO30" s="1"/>
      <c r="ARP30" s="1"/>
      <c r="ARQ30" s="1"/>
      <c r="ARR30" s="1"/>
      <c r="ARS30" s="1"/>
      <c r="ART30" s="1"/>
      <c r="ARU30" s="1"/>
      <c r="ARV30" s="1"/>
      <c r="ARW30" s="1"/>
      <c r="ARX30" s="1"/>
      <c r="ARY30" s="1"/>
      <c r="ARZ30" s="1"/>
      <c r="ASA30" s="1"/>
      <c r="ASB30" s="1"/>
      <c r="ASC30" s="1"/>
      <c r="ASD30" s="1"/>
      <c r="ASE30" s="1"/>
      <c r="ASF30" s="1"/>
      <c r="ASG30" s="1"/>
      <c r="ASH30" s="1"/>
      <c r="ASI30" s="1"/>
      <c r="ASJ30" s="1"/>
      <c r="ASK30" s="1"/>
      <c r="ASL30" s="1"/>
      <c r="ASM30" s="1"/>
      <c r="ASN30" s="1"/>
      <c r="ASO30" s="1"/>
      <c r="ASP30" s="1"/>
      <c r="ASQ30" s="1"/>
      <c r="ASR30" s="1"/>
      <c r="ASS30" s="1"/>
      <c r="AST30" s="1"/>
      <c r="ASU30" s="1"/>
      <c r="ASV30" s="1"/>
      <c r="ASW30" s="1"/>
      <c r="ASX30" s="1"/>
      <c r="ASY30" s="1"/>
      <c r="ASZ30" s="1"/>
      <c r="ATA30" s="1"/>
      <c r="ATB30" s="1"/>
      <c r="ATC30" s="1"/>
      <c r="ATD30" s="1"/>
      <c r="ATE30" s="1"/>
      <c r="ATF30" s="1"/>
      <c r="ATG30" s="1"/>
      <c r="ATH30" s="1"/>
      <c r="ATI30" s="1"/>
      <c r="ATJ30" s="1"/>
      <c r="ATK30" s="1"/>
      <c r="ATL30" s="1"/>
      <c r="ATM30" s="1"/>
      <c r="ATN30" s="1"/>
      <c r="ATO30" s="1"/>
      <c r="ATP30" s="1"/>
      <c r="ATQ30" s="1"/>
      <c r="ATR30" s="1"/>
      <c r="ATS30" s="1"/>
      <c r="ATT30" s="1"/>
      <c r="ATU30" s="1"/>
      <c r="ATV30" s="1"/>
      <c r="ATW30" s="1"/>
      <c r="ATX30" s="1"/>
      <c r="ATY30" s="1"/>
      <c r="ATZ30" s="1"/>
      <c r="AUA30" s="1"/>
      <c r="AUB30" s="1"/>
      <c r="AUC30" s="1"/>
      <c r="AUD30" s="1"/>
      <c r="AUE30" s="1"/>
      <c r="AUF30" s="1"/>
      <c r="AUG30" s="1"/>
      <c r="AUH30" s="1"/>
      <c r="AUI30" s="1"/>
      <c r="AUJ30" s="1"/>
      <c r="AUK30" s="1"/>
      <c r="AUL30" s="1"/>
      <c r="AUM30" s="1"/>
      <c r="AUN30" s="1"/>
      <c r="AUO30" s="1"/>
      <c r="AUP30" s="1"/>
      <c r="AUQ30" s="1"/>
      <c r="AUR30" s="1"/>
      <c r="AUS30" s="1"/>
      <c r="AUT30" s="1"/>
      <c r="AUU30" s="1"/>
      <c r="AUV30" s="1"/>
      <c r="AUW30" s="1"/>
      <c r="AUX30" s="1"/>
      <c r="AUY30" s="1"/>
      <c r="AUZ30" s="1"/>
      <c r="AVA30" s="1"/>
      <c r="AVB30" s="1"/>
      <c r="AVC30" s="1"/>
      <c r="AVD30" s="1"/>
      <c r="AVE30" s="1"/>
      <c r="AVF30" s="1"/>
      <c r="AVG30" s="1"/>
      <c r="AVH30" s="1"/>
      <c r="AVI30" s="1"/>
      <c r="AVJ30" s="1"/>
      <c r="AVK30" s="1"/>
      <c r="AVL30" s="1"/>
      <c r="AVM30" s="1"/>
      <c r="AVN30" s="1"/>
      <c r="AVO30" s="1"/>
      <c r="AVP30" s="1"/>
      <c r="AVQ30" s="1"/>
      <c r="AVR30" s="1"/>
      <c r="AVS30" s="1"/>
      <c r="AVT30" s="1"/>
      <c r="AVU30" s="1"/>
      <c r="AVV30" s="1"/>
      <c r="AVW30" s="1"/>
      <c r="AVX30" s="1"/>
      <c r="AVY30" s="1"/>
      <c r="AVZ30" s="1"/>
      <c r="AWA30" s="1"/>
      <c r="AWB30" s="1"/>
      <c r="AWC30" s="1"/>
      <c r="AWD30" s="1"/>
      <c r="AWE30" s="1"/>
      <c r="AWF30" s="1"/>
      <c r="AWG30" s="1"/>
      <c r="AWH30" s="1"/>
      <c r="AWI30" s="1"/>
      <c r="AWJ30" s="1"/>
      <c r="AWK30" s="1"/>
      <c r="AWL30" s="1"/>
      <c r="AWM30" s="1"/>
      <c r="AWN30" s="1"/>
      <c r="AWO30" s="1"/>
      <c r="AWP30" s="1"/>
      <c r="AWQ30" s="1"/>
      <c r="AWR30" s="1"/>
      <c r="AWS30" s="1"/>
      <c r="AWT30" s="1"/>
      <c r="AWU30" s="1"/>
      <c r="AWV30" s="1"/>
      <c r="AWW30" s="1"/>
      <c r="AWX30" s="1"/>
      <c r="AWY30" s="1"/>
      <c r="AWZ30" s="1"/>
      <c r="AXA30" s="1"/>
      <c r="AXB30" s="1"/>
      <c r="AXC30" s="1"/>
      <c r="AXD30" s="1"/>
      <c r="AXE30" s="1"/>
      <c r="AXF30" s="1"/>
      <c r="AXG30" s="1"/>
      <c r="AXH30" s="1"/>
      <c r="AXI30" s="1"/>
      <c r="AXJ30" s="1"/>
      <c r="AXK30" s="1"/>
      <c r="AXL30" s="1"/>
      <c r="AXM30" s="1"/>
      <c r="AXN30" s="1"/>
      <c r="AXO30" s="1"/>
      <c r="AXP30" s="1"/>
      <c r="AXQ30" s="1"/>
      <c r="AXR30" s="1"/>
      <c r="AXS30" s="1"/>
      <c r="AXT30" s="1"/>
      <c r="AXU30" s="1"/>
      <c r="AXV30" s="1"/>
      <c r="AXW30" s="1"/>
      <c r="AXX30" s="1"/>
      <c r="AXY30" s="1"/>
      <c r="AXZ30" s="1"/>
      <c r="AYA30" s="1"/>
      <c r="AYB30" s="1"/>
      <c r="AYC30" s="1"/>
      <c r="AYD30" s="1"/>
      <c r="AYE30" s="1"/>
      <c r="AYF30" s="1"/>
      <c r="AYG30" s="1"/>
      <c r="AYH30" s="1"/>
      <c r="AYI30" s="1"/>
      <c r="AYJ30" s="1"/>
      <c r="AYK30" s="1"/>
      <c r="AYL30" s="1"/>
      <c r="AYM30" s="1"/>
      <c r="AYN30" s="1"/>
      <c r="AYO30" s="1"/>
      <c r="AYP30" s="1"/>
      <c r="AYQ30" s="1"/>
      <c r="AYR30" s="1"/>
      <c r="AYS30" s="1"/>
      <c r="AYT30" s="1"/>
      <c r="AYU30" s="1"/>
      <c r="AYV30" s="1"/>
      <c r="AYW30" s="1"/>
      <c r="AYX30" s="1"/>
      <c r="AYY30" s="1"/>
      <c r="AYZ30" s="1"/>
      <c r="AZA30" s="1"/>
      <c r="AZB30" s="1"/>
      <c r="AZC30" s="1"/>
      <c r="AZD30" s="1"/>
      <c r="AZE30" s="1"/>
      <c r="AZF30" s="1"/>
      <c r="AZG30" s="1"/>
      <c r="AZH30" s="1"/>
      <c r="AZI30" s="1"/>
      <c r="AZJ30" s="1"/>
      <c r="AZK30" s="1"/>
      <c r="AZL30" s="1"/>
      <c r="AZM30" s="1"/>
      <c r="AZN30" s="1"/>
      <c r="AZO30" s="1"/>
      <c r="AZP30" s="1"/>
      <c r="AZQ30" s="1"/>
      <c r="AZR30" s="1"/>
      <c r="AZS30" s="1"/>
      <c r="AZT30" s="1"/>
      <c r="AZU30" s="1"/>
      <c r="AZV30" s="1"/>
      <c r="AZW30" s="1"/>
      <c r="AZX30" s="1"/>
      <c r="AZY30" s="1"/>
      <c r="AZZ30" s="1"/>
      <c r="BAA30" s="1"/>
      <c r="BAB30" s="1"/>
      <c r="BAC30" s="1"/>
      <c r="BAD30" s="1"/>
      <c r="BAE30" s="1"/>
      <c r="BAF30" s="1"/>
      <c r="BAG30" s="1"/>
      <c r="BAH30" s="1"/>
      <c r="BAI30" s="1"/>
      <c r="BAJ30" s="1"/>
      <c r="BAK30" s="1"/>
      <c r="BAL30" s="1"/>
      <c r="BAM30" s="1"/>
      <c r="BAN30" s="1"/>
      <c r="BAO30" s="1"/>
      <c r="BAP30" s="1"/>
      <c r="BAQ30" s="1"/>
      <c r="BAR30" s="1"/>
      <c r="BAS30" s="1"/>
      <c r="BAT30" s="1"/>
      <c r="BAU30" s="1"/>
      <c r="BAV30" s="1"/>
      <c r="BAW30" s="1"/>
      <c r="BAX30" s="1"/>
      <c r="BAY30" s="1"/>
      <c r="BAZ30" s="1"/>
      <c r="BBA30" s="1"/>
      <c r="BBB30" s="1"/>
      <c r="BBC30" s="1"/>
      <c r="BBD30" s="1"/>
      <c r="BBE30" s="1"/>
      <c r="BBF30" s="1"/>
      <c r="BBG30" s="1"/>
      <c r="BBH30" s="1"/>
      <c r="BBI30" s="1"/>
      <c r="BBJ30" s="1"/>
      <c r="BBK30" s="1"/>
      <c r="BBL30" s="1"/>
      <c r="BBM30" s="1"/>
      <c r="BBN30" s="1"/>
      <c r="BBO30" s="1"/>
      <c r="BBP30" s="1"/>
      <c r="BBQ30" s="1"/>
      <c r="BBR30" s="1"/>
      <c r="BBS30" s="1"/>
      <c r="BBT30" s="1"/>
      <c r="BBU30" s="1"/>
      <c r="BBV30" s="1"/>
      <c r="BBW30" s="1"/>
      <c r="BBX30" s="1"/>
      <c r="BBY30" s="1"/>
      <c r="BBZ30" s="1"/>
      <c r="BCA30" s="1"/>
      <c r="BCB30" s="1"/>
      <c r="BCC30" s="1"/>
      <c r="BCD30" s="1"/>
      <c r="BCE30" s="1"/>
      <c r="BCF30" s="1"/>
      <c r="BCG30" s="1"/>
      <c r="BCH30" s="1"/>
      <c r="BCI30" s="1"/>
      <c r="BCJ30" s="1"/>
      <c r="BCK30" s="1"/>
      <c r="BCL30" s="1"/>
      <c r="BCM30" s="1"/>
      <c r="BCN30" s="1"/>
      <c r="BCO30" s="1"/>
      <c r="BCP30" s="1"/>
      <c r="BCQ30" s="1"/>
      <c r="BCR30" s="1"/>
      <c r="BCS30" s="1"/>
      <c r="BCT30" s="1"/>
      <c r="BCU30" s="1"/>
      <c r="BCV30" s="1"/>
      <c r="BCW30" s="1"/>
      <c r="BCX30" s="1"/>
      <c r="BCY30" s="1"/>
      <c r="BCZ30" s="1"/>
      <c r="BDA30" s="1"/>
      <c r="BDB30" s="1"/>
      <c r="BDC30" s="1"/>
      <c r="BDD30" s="1"/>
      <c r="BDE30" s="1"/>
      <c r="BDF30" s="1"/>
      <c r="BDG30" s="1"/>
      <c r="BDH30" s="1"/>
      <c r="BDI30" s="1"/>
      <c r="BDJ30" s="1"/>
      <c r="BDK30" s="1"/>
      <c r="BDL30" s="1"/>
      <c r="BDM30" s="1"/>
      <c r="BDN30" s="1"/>
      <c r="BDO30" s="1"/>
      <c r="BDP30" s="1"/>
      <c r="BDQ30" s="1"/>
      <c r="BDR30" s="1"/>
      <c r="BDS30" s="1"/>
      <c r="BDT30" s="1"/>
      <c r="BDU30" s="1"/>
      <c r="BDV30" s="1"/>
      <c r="BDW30" s="1"/>
      <c r="BDX30" s="1"/>
      <c r="BDY30" s="1"/>
      <c r="BDZ30" s="1"/>
      <c r="BEA30" s="1"/>
      <c r="BEB30" s="1"/>
      <c r="BEC30" s="1"/>
      <c r="BED30" s="1"/>
      <c r="BEE30" s="1"/>
      <c r="BEF30" s="1"/>
      <c r="BEG30" s="1"/>
      <c r="BEH30" s="1"/>
      <c r="BEI30" s="1"/>
      <c r="BEJ30" s="1"/>
      <c r="BEK30" s="1"/>
      <c r="BEL30" s="1"/>
      <c r="BEM30" s="1"/>
      <c r="BEN30" s="1"/>
      <c r="BEO30" s="1"/>
      <c r="BEP30" s="1"/>
      <c r="BEQ30" s="1"/>
      <c r="BER30" s="1"/>
      <c r="BES30" s="1"/>
      <c r="BET30" s="1"/>
      <c r="BEU30" s="1"/>
      <c r="BEV30" s="1"/>
      <c r="BEW30" s="1"/>
      <c r="BEX30" s="1"/>
      <c r="BEY30" s="1"/>
      <c r="BEZ30" s="1"/>
      <c r="BFA30" s="1"/>
      <c r="BFB30" s="1"/>
      <c r="BFC30" s="1"/>
      <c r="BFD30" s="1"/>
      <c r="BFE30" s="1"/>
      <c r="BFF30" s="1"/>
      <c r="BFG30" s="1"/>
      <c r="BFH30" s="1"/>
      <c r="BFI30" s="1"/>
      <c r="BFJ30" s="1"/>
      <c r="BFK30" s="1"/>
      <c r="BFL30" s="1"/>
      <c r="BFM30" s="1"/>
      <c r="BFN30" s="1"/>
      <c r="BFO30" s="1"/>
      <c r="BFP30" s="1"/>
      <c r="BFQ30" s="1"/>
      <c r="BFR30" s="1"/>
      <c r="BFS30" s="1"/>
      <c r="BFT30" s="1"/>
      <c r="BFU30" s="1"/>
      <c r="BFV30" s="1"/>
      <c r="BFW30" s="1"/>
      <c r="BFX30" s="1"/>
      <c r="BFY30" s="1"/>
      <c r="BFZ30" s="1"/>
      <c r="BGA30" s="1"/>
      <c r="BGB30" s="1"/>
      <c r="BGC30" s="1"/>
      <c r="BGD30" s="1"/>
      <c r="BGE30" s="1"/>
      <c r="BGF30" s="1"/>
      <c r="BGG30" s="1"/>
      <c r="BGH30" s="1"/>
      <c r="BGI30" s="1"/>
      <c r="BGJ30" s="1"/>
      <c r="BGK30" s="1"/>
      <c r="BGL30" s="1"/>
      <c r="BGM30" s="1"/>
      <c r="BGN30" s="1"/>
      <c r="BGO30" s="1"/>
      <c r="BGP30" s="1"/>
      <c r="BGQ30" s="1"/>
      <c r="BGR30" s="1"/>
      <c r="BGS30" s="1"/>
      <c r="BGT30" s="1"/>
      <c r="BGU30" s="1"/>
      <c r="BGV30" s="1"/>
      <c r="BGW30" s="1"/>
      <c r="BGX30" s="1"/>
      <c r="BGY30" s="1"/>
      <c r="BGZ30" s="1"/>
      <c r="BHA30" s="1"/>
      <c r="BHB30" s="1"/>
      <c r="BHC30" s="1"/>
      <c r="BHD30" s="1"/>
      <c r="BHE30" s="1"/>
      <c r="BHF30" s="1"/>
      <c r="BHG30" s="1"/>
      <c r="BHH30" s="1"/>
      <c r="BHI30" s="1"/>
      <c r="BHJ30" s="1"/>
      <c r="BHK30" s="1"/>
      <c r="BHL30" s="1"/>
      <c r="BHM30" s="1"/>
      <c r="BHN30" s="1"/>
      <c r="BHO30" s="1"/>
      <c r="BHP30" s="1"/>
      <c r="BHQ30" s="1"/>
      <c r="BHR30" s="1"/>
      <c r="BHS30" s="1"/>
      <c r="BHT30" s="1"/>
      <c r="BHU30" s="1"/>
      <c r="BHV30" s="1"/>
      <c r="BHW30" s="1"/>
      <c r="BHX30" s="1"/>
      <c r="BHY30" s="1"/>
      <c r="BHZ30" s="1"/>
      <c r="BIA30" s="1"/>
      <c r="BIB30" s="1"/>
      <c r="BIC30" s="1"/>
      <c r="BID30" s="1"/>
      <c r="BIE30" s="1"/>
      <c r="BIF30" s="1"/>
      <c r="BIG30" s="1"/>
      <c r="BIH30" s="1"/>
      <c r="BII30" s="1"/>
      <c r="BIJ30" s="1"/>
      <c r="BIK30" s="1"/>
      <c r="BIL30" s="1"/>
      <c r="BIM30" s="1"/>
      <c r="BIN30" s="1"/>
      <c r="BIO30" s="1"/>
      <c r="BIP30" s="1"/>
      <c r="BIQ30" s="1"/>
      <c r="BIR30" s="1"/>
      <c r="BIS30" s="1"/>
      <c r="BIT30" s="1"/>
      <c r="BIU30" s="1"/>
      <c r="BIV30" s="1"/>
      <c r="BIW30" s="1"/>
      <c r="BIX30" s="1"/>
      <c r="BIY30" s="1"/>
      <c r="BIZ30" s="1"/>
      <c r="BJA30" s="1"/>
      <c r="BJB30" s="1"/>
      <c r="BJC30" s="1"/>
      <c r="BJD30" s="1"/>
      <c r="BJE30" s="1"/>
      <c r="BJF30" s="1"/>
      <c r="BJG30" s="1"/>
      <c r="BJH30" s="1"/>
      <c r="BJI30" s="1"/>
      <c r="BJJ30" s="1"/>
      <c r="BJK30" s="1"/>
      <c r="BJL30" s="1"/>
      <c r="BJM30" s="1"/>
      <c r="BJN30" s="1"/>
      <c r="BJO30" s="1"/>
      <c r="BJP30" s="1"/>
      <c r="BJQ30" s="1"/>
      <c r="BJR30" s="1"/>
      <c r="BJS30" s="1"/>
      <c r="BJT30" s="1"/>
      <c r="BJU30" s="1"/>
      <c r="BJV30" s="1"/>
      <c r="BJW30" s="1"/>
      <c r="BJX30" s="1"/>
      <c r="BJY30" s="1"/>
      <c r="BJZ30" s="1"/>
      <c r="BKA30" s="1"/>
      <c r="BKB30" s="1"/>
      <c r="BKC30" s="1"/>
      <c r="BKD30" s="1"/>
      <c r="BKE30" s="1"/>
      <c r="BKF30" s="1"/>
      <c r="BKG30" s="1"/>
      <c r="BKH30" s="1"/>
      <c r="BKI30" s="1"/>
      <c r="BKJ30" s="1"/>
      <c r="BKK30" s="1"/>
      <c r="BKL30" s="1"/>
      <c r="BKM30" s="1"/>
      <c r="BKN30" s="1"/>
      <c r="BKO30" s="1"/>
      <c r="BKP30" s="1"/>
      <c r="BKQ30" s="1"/>
      <c r="BKR30" s="1"/>
      <c r="BKS30" s="1"/>
      <c r="BKT30" s="1"/>
      <c r="BKU30" s="1"/>
      <c r="BKV30" s="1"/>
      <c r="BKW30" s="1"/>
      <c r="BKX30" s="1"/>
      <c r="BKY30" s="1"/>
      <c r="BKZ30" s="1"/>
      <c r="BLA30" s="1"/>
      <c r="BLB30" s="1"/>
      <c r="BLC30" s="1"/>
      <c r="BLD30" s="1"/>
      <c r="BLE30" s="1"/>
      <c r="BLF30" s="1"/>
      <c r="BLG30" s="1"/>
      <c r="BLH30" s="1"/>
      <c r="BLI30" s="1"/>
      <c r="BLJ30" s="1"/>
      <c r="BLK30" s="1"/>
      <c r="BLL30" s="1"/>
      <c r="BLM30" s="1"/>
      <c r="BLN30" s="1"/>
      <c r="BLO30" s="1"/>
      <c r="BLP30" s="1"/>
      <c r="BLQ30" s="1"/>
      <c r="BLR30" s="1"/>
      <c r="BLS30" s="1"/>
      <c r="BLT30" s="1"/>
      <c r="BLU30" s="1"/>
      <c r="BLV30" s="1"/>
      <c r="BLW30" s="1"/>
      <c r="BLX30" s="1"/>
      <c r="BLY30" s="1"/>
      <c r="BLZ30" s="1"/>
      <c r="BMA30" s="1"/>
      <c r="BMB30" s="1"/>
      <c r="BMC30" s="1"/>
      <c r="BMD30" s="1"/>
      <c r="BME30" s="1"/>
      <c r="BMF30" s="1"/>
      <c r="BMG30" s="1"/>
      <c r="BMH30" s="1"/>
      <c r="BMI30" s="1"/>
      <c r="BMJ30" s="1"/>
      <c r="BMK30" s="1"/>
      <c r="BML30" s="1"/>
      <c r="BMM30" s="1"/>
      <c r="BMN30" s="1"/>
      <c r="BMO30" s="1"/>
      <c r="BMP30" s="1"/>
      <c r="BMQ30" s="1"/>
      <c r="BMR30" s="1"/>
      <c r="BMS30" s="1"/>
      <c r="BMT30" s="1"/>
      <c r="BMU30" s="1"/>
      <c r="BMV30" s="1"/>
      <c r="BMW30" s="1"/>
      <c r="BMX30" s="1"/>
      <c r="BMY30" s="1"/>
      <c r="BMZ30" s="1"/>
      <c r="BNA30" s="1"/>
      <c r="BNB30" s="1"/>
      <c r="BNC30" s="1"/>
      <c r="BND30" s="1"/>
      <c r="BNE30" s="1"/>
      <c r="BNF30" s="1"/>
      <c r="BNG30" s="1"/>
      <c r="BNH30" s="1"/>
      <c r="BNI30" s="1"/>
      <c r="BNJ30" s="1"/>
      <c r="BNK30" s="1"/>
      <c r="BNL30" s="1"/>
      <c r="BNM30" s="1"/>
      <c r="BNN30" s="1"/>
      <c r="BNO30" s="1"/>
      <c r="BNP30" s="1"/>
      <c r="BNQ30" s="1"/>
      <c r="BNR30" s="1"/>
      <c r="BNS30" s="1"/>
      <c r="BNT30" s="1"/>
      <c r="BNU30" s="1"/>
      <c r="BNV30" s="1"/>
      <c r="BNW30" s="1"/>
      <c r="BNX30" s="1"/>
      <c r="BNY30" s="1"/>
      <c r="BNZ30" s="1"/>
      <c r="BOA30" s="1"/>
      <c r="BOB30" s="1"/>
      <c r="BOC30" s="1"/>
      <c r="BOD30" s="1"/>
      <c r="BOE30" s="1"/>
      <c r="BOF30" s="1"/>
      <c r="BOG30" s="1"/>
      <c r="BOH30" s="1"/>
      <c r="BOI30" s="1"/>
      <c r="BOJ30" s="1"/>
      <c r="BOK30" s="1"/>
      <c r="BOL30" s="1"/>
      <c r="BOM30" s="1"/>
      <c r="BON30" s="1"/>
      <c r="BOO30" s="1"/>
      <c r="BOP30" s="1"/>
      <c r="BOQ30" s="1"/>
      <c r="BOR30" s="1"/>
      <c r="BOS30" s="1"/>
      <c r="BOT30" s="1"/>
      <c r="BOU30" s="1"/>
      <c r="BOV30" s="1"/>
      <c r="BOW30" s="1"/>
      <c r="BOX30" s="1"/>
      <c r="BOY30" s="1"/>
      <c r="BOZ30" s="1"/>
      <c r="BPA30" s="1"/>
      <c r="BPB30" s="1"/>
      <c r="BPC30" s="1"/>
      <c r="BPD30" s="1"/>
      <c r="BPE30" s="1"/>
      <c r="BPF30" s="1"/>
      <c r="BPG30" s="1"/>
      <c r="BPH30" s="1"/>
      <c r="BPI30" s="1"/>
      <c r="BPJ30" s="1"/>
      <c r="BPK30" s="1"/>
      <c r="BPL30" s="1"/>
      <c r="BPM30" s="1"/>
      <c r="BPN30" s="1"/>
      <c r="BPO30" s="1"/>
      <c r="BPP30" s="1"/>
      <c r="BPQ30" s="1"/>
      <c r="BPR30" s="1"/>
      <c r="BPS30" s="1"/>
      <c r="BPT30" s="1"/>
      <c r="BPU30" s="1"/>
      <c r="BPV30" s="1"/>
      <c r="BPW30" s="1"/>
      <c r="BPX30" s="1"/>
      <c r="BPY30" s="1"/>
      <c r="BPZ30" s="1"/>
      <c r="BQA30" s="1"/>
      <c r="BQB30" s="1"/>
      <c r="BQC30" s="1"/>
      <c r="BQD30" s="1"/>
      <c r="BQE30" s="1"/>
      <c r="BQF30" s="1"/>
      <c r="BQG30" s="1"/>
      <c r="BQH30" s="1"/>
      <c r="BQI30" s="1"/>
      <c r="BQJ30" s="1"/>
      <c r="BQK30" s="1"/>
      <c r="BQL30" s="1"/>
      <c r="BQM30" s="1"/>
      <c r="BQN30" s="1"/>
      <c r="BQO30" s="1"/>
      <c r="BQP30" s="1"/>
      <c r="BQQ30" s="1"/>
      <c r="BQR30" s="1"/>
      <c r="BQS30" s="1"/>
      <c r="BQT30" s="1"/>
      <c r="BQU30" s="1"/>
      <c r="BQV30" s="1"/>
      <c r="BQW30" s="1"/>
      <c r="BQX30" s="1"/>
      <c r="BQY30" s="1"/>
      <c r="BQZ30" s="1"/>
      <c r="BRA30" s="1"/>
      <c r="BRB30" s="1"/>
      <c r="BRC30" s="1"/>
      <c r="BRD30" s="1"/>
      <c r="BRE30" s="1"/>
      <c r="BRF30" s="1"/>
      <c r="BRG30" s="1"/>
      <c r="BRH30" s="1"/>
      <c r="BRI30" s="1"/>
      <c r="BRJ30" s="1"/>
      <c r="BRK30" s="1"/>
      <c r="BRL30" s="1"/>
      <c r="BRM30" s="1"/>
      <c r="BRN30" s="1"/>
      <c r="BRO30" s="1"/>
      <c r="BRP30" s="1"/>
      <c r="BRQ30" s="1"/>
      <c r="BRR30" s="1"/>
      <c r="BRS30" s="1"/>
      <c r="BRT30" s="1"/>
      <c r="BRU30" s="1"/>
      <c r="BRV30" s="1"/>
      <c r="BRW30" s="1"/>
      <c r="BRX30" s="1"/>
      <c r="BRY30" s="1"/>
      <c r="BRZ30" s="1"/>
      <c r="BSA30" s="1"/>
      <c r="BSB30" s="1"/>
      <c r="BSC30" s="1"/>
      <c r="BSD30" s="1"/>
      <c r="BSE30" s="1"/>
      <c r="BSF30" s="1"/>
      <c r="BSG30" s="1"/>
      <c r="BSH30" s="1"/>
      <c r="BSI30" s="1"/>
      <c r="BSJ30" s="1"/>
      <c r="BSK30" s="1"/>
      <c r="BSL30" s="1"/>
      <c r="BSM30" s="1"/>
      <c r="BSN30" s="1"/>
      <c r="BSO30" s="1"/>
      <c r="BSP30" s="1"/>
      <c r="BSQ30" s="1"/>
      <c r="BSR30" s="1"/>
      <c r="BSS30" s="1"/>
      <c r="BST30" s="1"/>
      <c r="BSU30" s="1"/>
      <c r="BSV30" s="1"/>
      <c r="BSW30" s="1"/>
      <c r="BSX30" s="1"/>
      <c r="BSY30" s="1"/>
      <c r="BSZ30" s="1"/>
      <c r="BTA30" s="1"/>
      <c r="BTB30" s="1"/>
      <c r="BTC30" s="1"/>
      <c r="BTD30" s="1"/>
      <c r="BTE30" s="1"/>
      <c r="BTF30" s="1"/>
      <c r="BTG30" s="1"/>
      <c r="BTH30" s="1"/>
      <c r="BTI30" s="1"/>
      <c r="BTJ30" s="1"/>
      <c r="BTK30" s="1"/>
      <c r="BTL30" s="1"/>
      <c r="BTM30" s="1"/>
      <c r="BTN30" s="1"/>
      <c r="BTO30" s="1"/>
      <c r="BTP30" s="1"/>
      <c r="BTQ30" s="1"/>
      <c r="BTR30" s="1"/>
      <c r="BTS30" s="1"/>
      <c r="BTT30" s="1"/>
      <c r="BTU30" s="1"/>
      <c r="BTV30" s="1"/>
      <c r="BTW30" s="1"/>
      <c r="BTX30" s="1"/>
      <c r="BTY30" s="1"/>
      <c r="BTZ30" s="1"/>
      <c r="BUA30" s="1"/>
      <c r="BUB30" s="1"/>
      <c r="BUC30" s="1"/>
      <c r="BUD30" s="1"/>
      <c r="BUE30" s="1"/>
      <c r="BUF30" s="1"/>
      <c r="BUG30" s="1"/>
      <c r="BUH30" s="1"/>
      <c r="BUI30" s="1"/>
      <c r="BUJ30" s="1"/>
      <c r="BUK30" s="1"/>
      <c r="BUL30" s="1"/>
      <c r="BUM30" s="1"/>
      <c r="BUN30" s="1"/>
      <c r="BUO30" s="1"/>
      <c r="BUP30" s="1"/>
      <c r="BUQ30" s="1"/>
      <c r="BUR30" s="1"/>
      <c r="BUS30" s="1"/>
      <c r="BUT30" s="1"/>
      <c r="BUU30" s="1"/>
      <c r="BUV30" s="1"/>
      <c r="BUW30" s="1"/>
      <c r="BUX30" s="1"/>
      <c r="BUY30" s="1"/>
      <c r="BUZ30" s="1"/>
      <c r="BVA30" s="1"/>
      <c r="BVB30" s="1"/>
      <c r="BVC30" s="1"/>
      <c r="BVD30" s="1"/>
      <c r="BVE30" s="1"/>
      <c r="BVF30" s="1"/>
      <c r="BVG30" s="1"/>
      <c r="BVH30" s="1"/>
      <c r="BVI30" s="1"/>
      <c r="BVJ30" s="1"/>
      <c r="BVK30" s="1"/>
      <c r="BVL30" s="1"/>
      <c r="BVM30" s="1"/>
      <c r="BVN30" s="1"/>
      <c r="BVO30" s="1"/>
      <c r="BVP30" s="1"/>
      <c r="BVQ30" s="1"/>
      <c r="BVR30" s="1"/>
      <c r="BVS30" s="1"/>
      <c r="BVT30" s="1"/>
      <c r="BVU30" s="1"/>
      <c r="BVV30" s="1"/>
      <c r="BVW30" s="1"/>
      <c r="BVX30" s="1"/>
      <c r="BVY30" s="1"/>
      <c r="BVZ30" s="1"/>
      <c r="BWA30" s="1"/>
      <c r="BWB30" s="1"/>
      <c r="BWC30" s="1"/>
      <c r="BWD30" s="1"/>
      <c r="BWE30" s="1"/>
      <c r="BWF30" s="1"/>
      <c r="BWG30" s="1"/>
      <c r="BWH30" s="1"/>
      <c r="BWI30" s="1"/>
      <c r="BWJ30" s="1"/>
      <c r="BWK30" s="1"/>
      <c r="BWL30" s="1"/>
      <c r="BWM30" s="1"/>
      <c r="BWN30" s="1"/>
      <c r="BWO30" s="1"/>
      <c r="BWP30" s="1"/>
      <c r="BWQ30" s="1"/>
      <c r="BWR30" s="1"/>
      <c r="BWS30" s="1"/>
      <c r="BWT30" s="1"/>
      <c r="BWU30" s="1"/>
      <c r="BWV30" s="1"/>
      <c r="BWW30" s="1"/>
      <c r="BWX30" s="1"/>
      <c r="BWY30" s="1"/>
      <c r="BWZ30" s="1"/>
      <c r="BXA30" s="1"/>
      <c r="BXB30" s="1"/>
      <c r="BXC30" s="1"/>
      <c r="BXD30" s="1"/>
      <c r="BXE30" s="1"/>
      <c r="BXF30" s="1"/>
      <c r="BXG30" s="1"/>
      <c r="BXH30" s="1"/>
      <c r="BXI30" s="1"/>
      <c r="BXJ30" s="1"/>
      <c r="BXK30" s="1"/>
      <c r="BXL30" s="1"/>
      <c r="BXM30" s="1"/>
      <c r="BXN30" s="1"/>
      <c r="BXO30" s="1"/>
      <c r="BXP30" s="1"/>
      <c r="BXQ30" s="1"/>
      <c r="BXR30" s="1"/>
      <c r="BXS30" s="1"/>
      <c r="BXT30" s="1"/>
      <c r="BXU30" s="1"/>
      <c r="BXV30" s="1"/>
      <c r="BXW30" s="1"/>
      <c r="BXX30" s="1"/>
      <c r="BXY30" s="1"/>
      <c r="BXZ30" s="1"/>
      <c r="BYA30" s="1"/>
      <c r="BYB30" s="1"/>
      <c r="BYC30" s="1"/>
      <c r="BYD30" s="1"/>
      <c r="BYE30" s="1"/>
      <c r="BYF30" s="1"/>
      <c r="BYG30" s="1"/>
      <c r="BYH30" s="1"/>
      <c r="BYI30" s="1"/>
      <c r="BYJ30" s="1"/>
      <c r="BYK30" s="1"/>
      <c r="BYL30" s="1"/>
      <c r="BYM30" s="1"/>
      <c r="BYN30" s="1"/>
      <c r="BYO30" s="1"/>
      <c r="BYP30" s="1"/>
      <c r="BYQ30" s="1"/>
      <c r="BYR30" s="1"/>
      <c r="BYS30" s="1"/>
      <c r="BYT30" s="1"/>
      <c r="BYU30" s="1"/>
      <c r="BYV30" s="1"/>
      <c r="BYW30" s="1"/>
      <c r="BYX30" s="1"/>
      <c r="BYY30" s="1"/>
      <c r="BYZ30" s="1"/>
      <c r="BZA30" s="1"/>
      <c r="BZB30" s="1"/>
      <c r="BZC30" s="1"/>
      <c r="BZD30" s="1"/>
      <c r="BZE30" s="1"/>
      <c r="BZF30" s="1"/>
      <c r="BZG30" s="1"/>
      <c r="BZH30" s="1"/>
      <c r="BZI30" s="1"/>
      <c r="BZJ30" s="1"/>
      <c r="BZK30" s="1"/>
      <c r="BZL30" s="1"/>
      <c r="BZM30" s="1"/>
      <c r="BZN30" s="1"/>
      <c r="BZO30" s="1"/>
      <c r="BZP30" s="1"/>
      <c r="BZQ30" s="1"/>
      <c r="BZR30" s="1"/>
      <c r="BZS30" s="1"/>
      <c r="BZT30" s="1"/>
      <c r="BZU30" s="1"/>
      <c r="BZV30" s="1"/>
      <c r="BZW30" s="1"/>
      <c r="BZX30" s="1"/>
      <c r="BZY30" s="1"/>
      <c r="BZZ30" s="1"/>
      <c r="CAA30" s="1"/>
      <c r="CAB30" s="1"/>
      <c r="CAC30" s="1"/>
      <c r="CAD30" s="1"/>
      <c r="CAE30" s="1"/>
      <c r="CAF30" s="1"/>
      <c r="CAG30" s="1"/>
      <c r="CAH30" s="1"/>
      <c r="CAI30" s="1"/>
      <c r="CAJ30" s="1"/>
      <c r="CAK30" s="1"/>
      <c r="CAL30" s="1"/>
      <c r="CAM30" s="1"/>
      <c r="CAN30" s="1"/>
      <c r="CAO30" s="1"/>
      <c r="CAP30" s="1"/>
      <c r="CAQ30" s="1"/>
      <c r="CAR30" s="1"/>
      <c r="CAS30" s="1"/>
      <c r="CAT30" s="1"/>
      <c r="CAU30" s="1"/>
      <c r="CAV30" s="1"/>
      <c r="CAW30" s="1"/>
      <c r="CAX30" s="1"/>
      <c r="CAY30" s="1"/>
      <c r="CAZ30" s="1"/>
      <c r="CBA30" s="1"/>
      <c r="CBB30" s="1"/>
      <c r="CBC30" s="1"/>
      <c r="CBD30" s="1"/>
      <c r="CBE30" s="1"/>
      <c r="CBF30" s="1"/>
      <c r="CBG30" s="1"/>
      <c r="CBH30" s="1"/>
      <c r="CBI30" s="1"/>
      <c r="CBJ30" s="1"/>
      <c r="CBK30" s="1"/>
      <c r="CBL30" s="1"/>
      <c r="CBM30" s="1"/>
      <c r="CBN30" s="1"/>
      <c r="CBO30" s="1"/>
      <c r="CBP30" s="1"/>
      <c r="CBQ30" s="1"/>
      <c r="CBR30" s="1"/>
      <c r="CBS30" s="1"/>
      <c r="CBT30" s="1"/>
      <c r="CBU30" s="1"/>
      <c r="CBV30" s="1"/>
      <c r="CBW30" s="1"/>
      <c r="CBX30" s="1"/>
      <c r="CBY30" s="1"/>
      <c r="CBZ30" s="1"/>
      <c r="CCA30" s="1"/>
      <c r="CCB30" s="1"/>
      <c r="CCC30" s="1"/>
      <c r="CCD30" s="1"/>
      <c r="CCE30" s="1"/>
      <c r="CCF30" s="1"/>
      <c r="CCG30" s="1"/>
      <c r="CCH30" s="1"/>
      <c r="CCI30" s="1"/>
      <c r="CCJ30" s="1"/>
      <c r="CCK30" s="1"/>
      <c r="CCL30" s="1"/>
      <c r="CCM30" s="1"/>
      <c r="CCN30" s="1"/>
      <c r="CCO30" s="1"/>
      <c r="CCP30" s="1"/>
      <c r="CCQ30" s="1"/>
      <c r="CCR30" s="1"/>
      <c r="CCS30" s="1"/>
      <c r="CCT30" s="1"/>
      <c r="CCU30" s="1"/>
      <c r="CCV30" s="1"/>
      <c r="CCW30" s="1"/>
      <c r="CCX30" s="1"/>
      <c r="CCY30" s="1"/>
      <c r="CCZ30" s="1"/>
      <c r="CDA30" s="1"/>
      <c r="CDB30" s="1"/>
      <c r="CDC30" s="1"/>
      <c r="CDD30" s="1"/>
      <c r="CDE30" s="1"/>
      <c r="CDF30" s="1"/>
      <c r="CDG30" s="1"/>
      <c r="CDH30" s="1"/>
      <c r="CDI30" s="1"/>
      <c r="CDJ30" s="1"/>
      <c r="CDK30" s="1"/>
      <c r="CDL30" s="1"/>
      <c r="CDM30" s="1"/>
      <c r="CDN30" s="1"/>
      <c r="CDO30" s="1"/>
      <c r="CDP30" s="1"/>
      <c r="CDQ30" s="1"/>
      <c r="CDR30" s="1"/>
      <c r="CDS30" s="1"/>
      <c r="CDT30" s="1"/>
      <c r="CDU30" s="1"/>
      <c r="CDV30" s="1"/>
      <c r="CDW30" s="1"/>
      <c r="CDX30" s="1"/>
      <c r="CDY30" s="1"/>
      <c r="CDZ30" s="1"/>
      <c r="CEA30" s="1"/>
      <c r="CEB30" s="1"/>
      <c r="CEC30" s="1"/>
      <c r="CED30" s="1"/>
      <c r="CEE30" s="1"/>
      <c r="CEF30" s="1"/>
      <c r="CEG30" s="1"/>
      <c r="CEH30" s="1"/>
      <c r="CEI30" s="1"/>
      <c r="CEJ30" s="1"/>
      <c r="CEK30" s="1"/>
      <c r="CEL30" s="1"/>
      <c r="CEM30" s="1"/>
      <c r="CEN30" s="1"/>
      <c r="CEO30" s="1"/>
      <c r="CEP30" s="1"/>
      <c r="CEQ30" s="1"/>
      <c r="CER30" s="1"/>
      <c r="CES30" s="1"/>
      <c r="CET30" s="1"/>
      <c r="CEU30" s="1"/>
      <c r="CEV30" s="1"/>
      <c r="CEW30" s="1"/>
      <c r="CEX30" s="1"/>
      <c r="CEY30" s="1"/>
      <c r="CEZ30" s="1"/>
      <c r="CFA30" s="1"/>
      <c r="CFB30" s="1"/>
      <c r="CFC30" s="1"/>
      <c r="CFD30" s="1"/>
      <c r="CFE30" s="1"/>
      <c r="CFF30" s="1"/>
      <c r="CFG30" s="1"/>
      <c r="CFH30" s="1"/>
      <c r="CFI30" s="1"/>
      <c r="CFJ30" s="1"/>
      <c r="CFK30" s="1"/>
      <c r="CFL30" s="1"/>
      <c r="CFM30" s="1"/>
      <c r="CFN30" s="1"/>
      <c r="CFO30" s="1"/>
      <c r="CFP30" s="1"/>
      <c r="CFQ30" s="1"/>
      <c r="CFR30" s="1"/>
      <c r="CFS30" s="1"/>
      <c r="CFT30" s="1"/>
      <c r="CFU30" s="1"/>
      <c r="CFV30" s="1"/>
      <c r="CFW30" s="1"/>
      <c r="CFX30" s="1"/>
      <c r="CFY30" s="1"/>
      <c r="CFZ30" s="1"/>
      <c r="CGA30" s="1"/>
      <c r="CGB30" s="1"/>
      <c r="CGC30" s="1"/>
      <c r="CGD30" s="1"/>
      <c r="CGE30" s="1"/>
      <c r="CGF30" s="1"/>
      <c r="CGG30" s="1"/>
      <c r="CGH30" s="1"/>
      <c r="CGI30" s="1"/>
      <c r="CGJ30" s="1"/>
      <c r="CGK30" s="1"/>
      <c r="CGL30" s="1"/>
      <c r="CGM30" s="1"/>
      <c r="CGN30" s="1"/>
      <c r="CGO30" s="1"/>
      <c r="CGP30" s="1"/>
      <c r="CGQ30" s="1"/>
      <c r="CGR30" s="1"/>
      <c r="CGS30" s="1"/>
      <c r="CGT30" s="1"/>
      <c r="CGU30" s="1"/>
      <c r="CGV30" s="1"/>
      <c r="CGW30" s="1"/>
      <c r="CGX30" s="1"/>
      <c r="CGY30" s="1"/>
      <c r="CGZ30" s="1"/>
      <c r="CHA30" s="1"/>
      <c r="CHB30" s="1"/>
      <c r="CHC30" s="1"/>
      <c r="CHD30" s="1"/>
      <c r="CHE30" s="1"/>
      <c r="CHF30" s="1"/>
      <c r="CHG30" s="1"/>
      <c r="CHH30" s="1"/>
      <c r="CHI30" s="1"/>
      <c r="CHJ30" s="1"/>
      <c r="CHK30" s="1"/>
      <c r="CHL30" s="1"/>
      <c r="CHM30" s="1"/>
      <c r="CHN30" s="1"/>
      <c r="CHO30" s="1"/>
      <c r="CHP30" s="1"/>
      <c r="CHQ30" s="1"/>
      <c r="CHR30" s="1"/>
      <c r="CHS30" s="1"/>
      <c r="CHT30" s="1"/>
      <c r="CHU30" s="1"/>
      <c r="CHV30" s="1"/>
      <c r="CHW30" s="1"/>
      <c r="CHX30" s="1"/>
      <c r="CHY30" s="1"/>
      <c r="CHZ30" s="1"/>
      <c r="CIA30" s="1"/>
      <c r="CIB30" s="1"/>
      <c r="CIC30" s="1"/>
      <c r="CID30" s="1"/>
      <c r="CIE30" s="1"/>
      <c r="CIF30" s="1"/>
      <c r="CIG30" s="1"/>
      <c r="CIH30" s="1"/>
      <c r="CII30" s="1"/>
      <c r="CIJ30" s="1"/>
      <c r="CIK30" s="1"/>
      <c r="CIL30" s="1"/>
      <c r="CIM30" s="1"/>
      <c r="CIN30" s="1"/>
      <c r="CIO30" s="1"/>
      <c r="CIP30" s="1"/>
      <c r="CIQ30" s="1"/>
      <c r="CIR30" s="1"/>
      <c r="CIS30" s="1"/>
      <c r="CIT30" s="1"/>
      <c r="CIU30" s="1"/>
      <c r="CIV30" s="1"/>
      <c r="CIW30" s="1"/>
      <c r="CIX30" s="1"/>
      <c r="CIY30" s="1"/>
      <c r="CIZ30" s="1"/>
      <c r="CJA30" s="1"/>
      <c r="CJB30" s="1"/>
      <c r="CJC30" s="1"/>
      <c r="CJD30" s="1"/>
      <c r="CJE30" s="1"/>
      <c r="CJF30" s="1"/>
      <c r="CJG30" s="1"/>
      <c r="CJH30" s="1"/>
      <c r="CJI30" s="1"/>
      <c r="CJJ30" s="1"/>
      <c r="CJK30" s="1"/>
      <c r="CJL30" s="1"/>
      <c r="CJM30" s="1"/>
      <c r="CJN30" s="1"/>
      <c r="CJO30" s="1"/>
      <c r="CJP30" s="1"/>
      <c r="CJQ30" s="1"/>
      <c r="CJR30" s="1"/>
      <c r="CJS30" s="1"/>
      <c r="CJT30" s="1"/>
      <c r="CJU30" s="1"/>
      <c r="CJV30" s="1"/>
      <c r="CJW30" s="1"/>
      <c r="CJX30" s="1"/>
      <c r="CJY30" s="1"/>
      <c r="CJZ30" s="1"/>
      <c r="CKA30" s="1"/>
      <c r="CKB30" s="1"/>
      <c r="CKC30" s="1"/>
      <c r="CKD30" s="1"/>
      <c r="CKE30" s="1"/>
      <c r="CKF30" s="1"/>
      <c r="CKG30" s="1"/>
      <c r="CKH30" s="1"/>
      <c r="CKI30" s="1"/>
      <c r="CKJ30" s="1"/>
      <c r="CKK30" s="1"/>
      <c r="CKL30" s="1"/>
      <c r="CKM30" s="1"/>
      <c r="CKN30" s="1"/>
      <c r="CKO30" s="1"/>
      <c r="CKP30" s="1"/>
      <c r="CKQ30" s="1"/>
      <c r="CKR30" s="1"/>
      <c r="CKS30" s="1"/>
      <c r="CKT30" s="1"/>
      <c r="CKU30" s="1"/>
      <c r="CKV30" s="1"/>
      <c r="CKW30" s="1"/>
      <c r="CKX30" s="1"/>
      <c r="CKY30" s="1"/>
      <c r="CKZ30" s="1"/>
      <c r="CLA30" s="1"/>
      <c r="CLB30" s="1"/>
      <c r="CLC30" s="1"/>
      <c r="CLD30" s="1"/>
      <c r="CLE30" s="1"/>
      <c r="CLF30" s="1"/>
      <c r="CLG30" s="1"/>
      <c r="CLH30" s="1"/>
      <c r="CLI30" s="1"/>
      <c r="CLJ30" s="1"/>
      <c r="CLK30" s="1"/>
      <c r="CLL30" s="1"/>
      <c r="CLM30" s="1"/>
      <c r="CLN30" s="1"/>
      <c r="CLO30" s="1"/>
      <c r="CLP30" s="1"/>
      <c r="CLQ30" s="1"/>
      <c r="CLR30" s="1"/>
      <c r="CLS30" s="1"/>
      <c r="CLT30" s="1"/>
      <c r="CLU30" s="1"/>
      <c r="CLV30" s="1"/>
      <c r="CLW30" s="1"/>
      <c r="CLX30" s="1"/>
      <c r="CLY30" s="1"/>
      <c r="CLZ30" s="1"/>
      <c r="CMA30" s="1"/>
      <c r="CMB30" s="1"/>
      <c r="CMC30" s="1"/>
      <c r="CMD30" s="1"/>
      <c r="CME30" s="1"/>
      <c r="CMF30" s="1"/>
      <c r="CMG30" s="1"/>
      <c r="CMH30" s="1"/>
      <c r="CMI30" s="1"/>
      <c r="CMJ30" s="1"/>
      <c r="CMK30" s="1"/>
      <c r="CML30" s="1"/>
      <c r="CMM30" s="1"/>
      <c r="CMN30" s="1"/>
      <c r="CMO30" s="1"/>
      <c r="CMP30" s="1"/>
      <c r="CMQ30" s="1"/>
      <c r="CMR30" s="1"/>
      <c r="CMS30" s="1"/>
      <c r="CMT30" s="1"/>
      <c r="CMU30" s="1"/>
      <c r="CMV30" s="1"/>
      <c r="CMW30" s="1"/>
      <c r="CMX30" s="1"/>
      <c r="CMY30" s="1"/>
      <c r="CMZ30" s="1"/>
      <c r="CNA30" s="1"/>
      <c r="CNB30" s="1"/>
      <c r="CNC30" s="1"/>
      <c r="CND30" s="1"/>
      <c r="CNE30" s="1"/>
      <c r="CNF30" s="1"/>
      <c r="CNG30" s="1"/>
      <c r="CNH30" s="1"/>
      <c r="CNI30" s="1"/>
      <c r="CNJ30" s="1"/>
      <c r="CNK30" s="1"/>
      <c r="CNL30" s="1"/>
      <c r="CNM30" s="1"/>
      <c r="CNN30" s="1"/>
      <c r="CNO30" s="1"/>
      <c r="CNP30" s="1"/>
      <c r="CNQ30" s="1"/>
      <c r="CNR30" s="1"/>
      <c r="CNS30" s="1"/>
      <c r="CNT30" s="1"/>
      <c r="CNU30" s="1"/>
      <c r="CNV30" s="1"/>
      <c r="CNW30" s="1"/>
      <c r="CNX30" s="1"/>
      <c r="CNY30" s="1"/>
      <c r="CNZ30" s="1"/>
      <c r="COA30" s="1"/>
      <c r="COB30" s="1"/>
      <c r="COC30" s="1"/>
      <c r="COD30" s="1"/>
      <c r="COE30" s="1"/>
      <c r="COF30" s="1"/>
      <c r="COG30" s="1"/>
      <c r="COH30" s="1"/>
      <c r="COI30" s="1"/>
      <c r="COJ30" s="1"/>
      <c r="COK30" s="1"/>
      <c r="COL30" s="1"/>
      <c r="COM30" s="1"/>
      <c r="CON30" s="1"/>
      <c r="COO30" s="1"/>
      <c r="COP30" s="1"/>
      <c r="COQ30" s="1"/>
      <c r="COR30" s="1"/>
      <c r="COS30" s="1"/>
      <c r="COT30" s="1"/>
      <c r="COU30" s="1"/>
      <c r="COV30" s="1"/>
      <c r="COW30" s="1"/>
      <c r="COX30" s="1"/>
      <c r="COY30" s="1"/>
      <c r="COZ30" s="1"/>
      <c r="CPA30" s="1"/>
      <c r="CPB30" s="1"/>
      <c r="CPC30" s="1"/>
      <c r="CPD30" s="1"/>
      <c r="CPE30" s="1"/>
      <c r="CPF30" s="1"/>
      <c r="CPG30" s="1"/>
      <c r="CPH30" s="1"/>
      <c r="CPI30" s="1"/>
      <c r="CPJ30" s="1"/>
      <c r="CPK30" s="1"/>
      <c r="CPL30" s="1"/>
      <c r="CPM30" s="1"/>
      <c r="CPN30" s="1"/>
      <c r="CPO30" s="1"/>
      <c r="CPP30" s="1"/>
      <c r="CPQ30" s="1"/>
      <c r="CPR30" s="1"/>
      <c r="CPS30" s="1"/>
      <c r="CPT30" s="1"/>
      <c r="CPU30" s="1"/>
      <c r="CPV30" s="1"/>
      <c r="CPW30" s="1"/>
      <c r="CPX30" s="1"/>
      <c r="CPY30" s="1"/>
      <c r="CPZ30" s="1"/>
      <c r="CQA30" s="1"/>
      <c r="CQB30" s="1"/>
      <c r="CQC30" s="1"/>
      <c r="CQD30" s="1"/>
      <c r="CQE30" s="1"/>
      <c r="CQF30" s="1"/>
      <c r="CQG30" s="1"/>
      <c r="CQH30" s="1"/>
      <c r="CQI30" s="1"/>
      <c r="CQJ30" s="1"/>
      <c r="CQK30" s="1"/>
      <c r="CQL30" s="1"/>
      <c r="CQM30" s="1"/>
      <c r="CQN30" s="1"/>
      <c r="CQO30" s="1"/>
      <c r="CQP30" s="1"/>
      <c r="CQQ30" s="1"/>
      <c r="CQR30" s="1"/>
      <c r="CQS30" s="1"/>
      <c r="CQT30" s="1"/>
      <c r="CQU30" s="1"/>
      <c r="CQV30" s="1"/>
      <c r="CQW30" s="1"/>
      <c r="CQX30" s="1"/>
      <c r="CQY30" s="1"/>
      <c r="CQZ30" s="1"/>
      <c r="CRA30" s="1"/>
      <c r="CRB30" s="1"/>
      <c r="CRC30" s="1"/>
      <c r="CRD30" s="1"/>
      <c r="CRE30" s="1"/>
      <c r="CRF30" s="1"/>
      <c r="CRG30" s="1"/>
      <c r="CRH30" s="1"/>
      <c r="CRI30" s="1"/>
      <c r="CRJ30" s="1"/>
      <c r="CRK30" s="1"/>
      <c r="CRL30" s="1"/>
      <c r="CRM30" s="1"/>
      <c r="CRN30" s="1"/>
      <c r="CRO30" s="1"/>
      <c r="CRP30" s="1"/>
      <c r="CRQ30" s="1"/>
      <c r="CRR30" s="1"/>
      <c r="CRS30" s="1"/>
      <c r="CRT30" s="1"/>
      <c r="CRU30" s="1"/>
      <c r="CRV30" s="1"/>
      <c r="CRW30" s="1"/>
      <c r="CRX30" s="1"/>
      <c r="CRY30" s="1"/>
      <c r="CRZ30" s="1"/>
      <c r="CSA30" s="1"/>
      <c r="CSB30" s="1"/>
      <c r="CSC30" s="1"/>
      <c r="CSD30" s="1"/>
      <c r="CSE30" s="1"/>
      <c r="CSF30" s="1"/>
      <c r="CSG30" s="1"/>
      <c r="CSH30" s="1"/>
      <c r="CSI30" s="1"/>
      <c r="CSJ30" s="1"/>
      <c r="CSK30" s="1"/>
      <c r="CSL30" s="1"/>
      <c r="CSM30" s="1"/>
      <c r="CSN30" s="1"/>
      <c r="CSO30" s="1"/>
      <c r="CSP30" s="1"/>
      <c r="CSQ30" s="1"/>
      <c r="CSR30" s="1"/>
      <c r="CSS30" s="1"/>
      <c r="CST30" s="1"/>
      <c r="CSU30" s="1"/>
      <c r="CSV30" s="1"/>
      <c r="CSW30" s="1"/>
      <c r="CSX30" s="1"/>
      <c r="CSY30" s="1"/>
      <c r="CSZ30" s="1"/>
      <c r="CTA30" s="1"/>
      <c r="CTB30" s="1"/>
      <c r="CTC30" s="1"/>
      <c r="CTD30" s="1"/>
      <c r="CTE30" s="1"/>
      <c r="CTF30" s="1"/>
      <c r="CTG30" s="1"/>
      <c r="CTH30" s="1"/>
      <c r="CTI30" s="1"/>
      <c r="CTJ30" s="1"/>
      <c r="CTK30" s="1"/>
      <c r="CTL30" s="1"/>
      <c r="CTM30" s="1"/>
      <c r="CTN30" s="1"/>
      <c r="CTO30" s="1"/>
      <c r="CTP30" s="1"/>
      <c r="CTQ30" s="1"/>
      <c r="CTR30" s="1"/>
      <c r="CTS30" s="1"/>
      <c r="CTT30" s="1"/>
      <c r="CTU30" s="1"/>
      <c r="CTV30" s="1"/>
      <c r="CTW30" s="1"/>
      <c r="CTX30" s="1"/>
      <c r="CTY30" s="1"/>
      <c r="CTZ30" s="1"/>
      <c r="CUA30" s="1"/>
      <c r="CUB30" s="1"/>
      <c r="CUC30" s="1"/>
      <c r="CUD30" s="1"/>
      <c r="CUE30" s="1"/>
      <c r="CUF30" s="1"/>
      <c r="CUG30" s="1"/>
      <c r="CUH30" s="1"/>
      <c r="CUI30" s="1"/>
      <c r="CUJ30" s="1"/>
      <c r="CUK30" s="1"/>
      <c r="CUL30" s="1"/>
      <c r="CUM30" s="1"/>
      <c r="CUN30" s="1"/>
      <c r="CUO30" s="1"/>
      <c r="CUP30" s="1"/>
      <c r="CUQ30" s="1"/>
      <c r="CUR30" s="1"/>
      <c r="CUS30" s="1"/>
      <c r="CUT30" s="1"/>
      <c r="CUU30" s="1"/>
      <c r="CUV30" s="1"/>
      <c r="CUW30" s="1"/>
      <c r="CUX30" s="1"/>
      <c r="CUY30" s="1"/>
      <c r="CUZ30" s="1"/>
      <c r="CVA30" s="1"/>
      <c r="CVB30" s="1"/>
      <c r="CVC30" s="1"/>
      <c r="CVD30" s="1"/>
      <c r="CVE30" s="1"/>
      <c r="CVF30" s="1"/>
      <c r="CVG30" s="1"/>
      <c r="CVH30" s="1"/>
      <c r="CVI30" s="1"/>
      <c r="CVJ30" s="1"/>
      <c r="CVK30" s="1"/>
      <c r="CVL30" s="1"/>
      <c r="CVM30" s="1"/>
      <c r="CVN30" s="1"/>
      <c r="CVO30" s="1"/>
      <c r="CVP30" s="1"/>
      <c r="CVQ30" s="1"/>
      <c r="CVR30" s="1"/>
      <c r="CVS30" s="1"/>
      <c r="CVT30" s="1"/>
      <c r="CVU30" s="1"/>
      <c r="CVV30" s="1"/>
      <c r="CVW30" s="1"/>
      <c r="CVX30" s="1"/>
      <c r="CVY30" s="1"/>
      <c r="CVZ30" s="1"/>
      <c r="CWA30" s="1"/>
      <c r="CWB30" s="1"/>
      <c r="CWC30" s="1"/>
      <c r="CWD30" s="1"/>
      <c r="CWE30" s="1"/>
      <c r="CWF30" s="1"/>
      <c r="CWG30" s="1"/>
      <c r="CWH30" s="1"/>
      <c r="CWI30" s="1"/>
      <c r="CWJ30" s="1"/>
      <c r="CWK30" s="1"/>
      <c r="CWL30" s="1"/>
      <c r="CWM30" s="1"/>
      <c r="CWN30" s="1"/>
      <c r="CWO30" s="1"/>
      <c r="CWP30" s="1"/>
      <c r="CWQ30" s="1"/>
      <c r="CWR30" s="1"/>
      <c r="CWS30" s="1"/>
      <c r="CWT30" s="1"/>
      <c r="CWU30" s="1"/>
      <c r="CWV30" s="1"/>
      <c r="CWW30" s="1"/>
      <c r="CWX30" s="1"/>
      <c r="CWY30" s="1"/>
      <c r="CWZ30" s="1"/>
      <c r="CXA30" s="1"/>
      <c r="CXB30" s="1"/>
      <c r="CXC30" s="1"/>
      <c r="CXD30" s="1"/>
      <c r="CXE30" s="1"/>
      <c r="CXF30" s="1"/>
      <c r="CXG30" s="1"/>
      <c r="CXH30" s="1"/>
      <c r="CXI30" s="1"/>
      <c r="CXJ30" s="1"/>
      <c r="CXK30" s="1"/>
      <c r="CXL30" s="1"/>
      <c r="CXM30" s="1"/>
      <c r="CXN30" s="1"/>
      <c r="CXO30" s="1"/>
      <c r="CXP30" s="1"/>
      <c r="CXQ30" s="1"/>
      <c r="CXR30" s="1"/>
      <c r="CXS30" s="1"/>
      <c r="CXT30" s="1"/>
      <c r="CXU30" s="1"/>
      <c r="CXV30" s="1"/>
      <c r="CXW30" s="1"/>
      <c r="CXX30" s="1"/>
      <c r="CXY30" s="1"/>
      <c r="CXZ30" s="1"/>
      <c r="CYA30" s="1"/>
      <c r="CYB30" s="1"/>
      <c r="CYC30" s="1"/>
      <c r="CYD30" s="1"/>
      <c r="CYE30" s="1"/>
      <c r="CYF30" s="1"/>
      <c r="CYG30" s="1"/>
      <c r="CYH30" s="1"/>
      <c r="CYI30" s="1"/>
      <c r="CYJ30" s="1"/>
      <c r="CYK30" s="1"/>
      <c r="CYL30" s="1"/>
      <c r="CYM30" s="1"/>
      <c r="CYN30" s="1"/>
      <c r="CYO30" s="1"/>
      <c r="CYP30" s="1"/>
      <c r="CYQ30" s="1"/>
      <c r="CYR30" s="1"/>
      <c r="CYS30" s="1"/>
      <c r="CYT30" s="1"/>
      <c r="CYU30" s="1"/>
      <c r="CYV30" s="1"/>
      <c r="CYW30" s="1"/>
      <c r="CYX30" s="1"/>
      <c r="CYY30" s="1"/>
      <c r="CYZ30" s="1"/>
      <c r="CZA30" s="1"/>
      <c r="CZB30" s="1"/>
      <c r="CZC30" s="1"/>
      <c r="CZD30" s="1"/>
      <c r="CZE30" s="1"/>
      <c r="CZF30" s="1"/>
      <c r="CZG30" s="1"/>
      <c r="CZH30" s="1"/>
      <c r="CZI30" s="1"/>
      <c r="CZJ30" s="1"/>
      <c r="CZK30" s="1"/>
      <c r="CZL30" s="1"/>
      <c r="CZM30" s="1"/>
      <c r="CZN30" s="1"/>
      <c r="CZO30" s="1"/>
      <c r="CZP30" s="1"/>
      <c r="CZQ30" s="1"/>
      <c r="CZR30" s="1"/>
      <c r="CZS30" s="1"/>
      <c r="CZT30" s="1"/>
      <c r="CZU30" s="1"/>
      <c r="CZV30" s="1"/>
      <c r="CZW30" s="1"/>
      <c r="CZX30" s="1"/>
      <c r="CZY30" s="1"/>
      <c r="CZZ30" s="1"/>
      <c r="DAA30" s="1"/>
      <c r="DAB30" s="1"/>
      <c r="DAC30" s="1"/>
      <c r="DAD30" s="1"/>
      <c r="DAE30" s="1"/>
      <c r="DAF30" s="1"/>
      <c r="DAG30" s="1"/>
      <c r="DAH30" s="1"/>
      <c r="DAI30" s="1"/>
      <c r="DAJ30" s="1"/>
      <c r="DAK30" s="1"/>
      <c r="DAL30" s="1"/>
      <c r="DAM30" s="1"/>
      <c r="DAN30" s="1"/>
      <c r="DAO30" s="1"/>
      <c r="DAP30" s="1"/>
      <c r="DAQ30" s="1"/>
      <c r="DAR30" s="1"/>
      <c r="DAS30" s="1"/>
      <c r="DAT30" s="1"/>
      <c r="DAU30" s="1"/>
      <c r="DAV30" s="1"/>
      <c r="DAW30" s="1"/>
      <c r="DAX30" s="1"/>
      <c r="DAY30" s="1"/>
      <c r="DAZ30" s="1"/>
      <c r="DBA30" s="1"/>
      <c r="DBB30" s="1"/>
      <c r="DBC30" s="1"/>
      <c r="DBD30" s="1"/>
      <c r="DBE30" s="1"/>
      <c r="DBF30" s="1"/>
      <c r="DBG30" s="1"/>
      <c r="DBH30" s="1"/>
      <c r="DBI30" s="1"/>
      <c r="DBJ30" s="1"/>
      <c r="DBK30" s="1"/>
      <c r="DBL30" s="1"/>
      <c r="DBM30" s="1"/>
      <c r="DBN30" s="1"/>
      <c r="DBO30" s="1"/>
      <c r="DBP30" s="1"/>
      <c r="DBQ30" s="1"/>
      <c r="DBR30" s="1"/>
      <c r="DBS30" s="1"/>
      <c r="DBT30" s="1"/>
      <c r="DBU30" s="1"/>
      <c r="DBV30" s="1"/>
      <c r="DBW30" s="1"/>
      <c r="DBX30" s="1"/>
      <c r="DBY30" s="1"/>
      <c r="DBZ30" s="1"/>
      <c r="DCA30" s="1"/>
      <c r="DCB30" s="1"/>
      <c r="DCC30" s="1"/>
      <c r="DCD30" s="1"/>
      <c r="DCE30" s="1"/>
      <c r="DCF30" s="1"/>
      <c r="DCG30" s="1"/>
      <c r="DCH30" s="1"/>
      <c r="DCI30" s="1"/>
      <c r="DCJ30" s="1"/>
      <c r="DCK30" s="1"/>
      <c r="DCL30" s="1"/>
      <c r="DCM30" s="1"/>
      <c r="DCN30" s="1"/>
      <c r="DCO30" s="1"/>
      <c r="DCP30" s="1"/>
      <c r="DCQ30" s="1"/>
      <c r="DCR30" s="1"/>
      <c r="DCS30" s="1"/>
      <c r="DCT30" s="1"/>
      <c r="DCU30" s="1"/>
      <c r="DCV30" s="1"/>
      <c r="DCW30" s="1"/>
      <c r="DCX30" s="1"/>
      <c r="DCY30" s="1"/>
      <c r="DCZ30" s="1"/>
      <c r="DDA30" s="1"/>
      <c r="DDB30" s="1"/>
      <c r="DDC30" s="1"/>
      <c r="DDD30" s="1"/>
      <c r="DDE30" s="1"/>
      <c r="DDF30" s="1"/>
      <c r="DDG30" s="1"/>
      <c r="DDH30" s="1"/>
      <c r="DDI30" s="1"/>
      <c r="DDJ30" s="1"/>
      <c r="DDK30" s="1"/>
      <c r="DDL30" s="1"/>
      <c r="DDM30" s="1"/>
      <c r="DDN30" s="1"/>
      <c r="DDO30" s="1"/>
      <c r="DDP30" s="1"/>
      <c r="DDQ30" s="1"/>
      <c r="DDR30" s="1"/>
      <c r="DDS30" s="1"/>
      <c r="DDT30" s="1"/>
      <c r="DDU30" s="1"/>
      <c r="DDV30" s="1"/>
      <c r="DDW30" s="1"/>
      <c r="DDX30" s="1"/>
      <c r="DDY30" s="1"/>
      <c r="DDZ30" s="1"/>
      <c r="DEA30" s="1"/>
      <c r="DEB30" s="1"/>
      <c r="DEC30" s="1"/>
      <c r="DED30" s="1"/>
      <c r="DEE30" s="1"/>
      <c r="DEF30" s="1"/>
      <c r="DEG30" s="1"/>
      <c r="DEH30" s="1"/>
      <c r="DEI30" s="1"/>
      <c r="DEJ30" s="1"/>
      <c r="DEK30" s="1"/>
      <c r="DEL30" s="1"/>
      <c r="DEM30" s="1"/>
      <c r="DEN30" s="1"/>
      <c r="DEO30" s="1"/>
      <c r="DEP30" s="1"/>
      <c r="DEQ30" s="1"/>
      <c r="DER30" s="1"/>
      <c r="DES30" s="1"/>
      <c r="DET30" s="1"/>
      <c r="DEU30" s="1"/>
      <c r="DEV30" s="1"/>
      <c r="DEW30" s="1"/>
      <c r="DEX30" s="1"/>
      <c r="DEY30" s="1"/>
      <c r="DEZ30" s="1"/>
      <c r="DFA30" s="1"/>
      <c r="DFB30" s="1"/>
      <c r="DFC30" s="1"/>
      <c r="DFD30" s="1"/>
      <c r="DFE30" s="1"/>
      <c r="DFF30" s="1"/>
      <c r="DFG30" s="1"/>
      <c r="DFH30" s="1"/>
      <c r="DFI30" s="1"/>
      <c r="DFJ30" s="1"/>
      <c r="DFK30" s="1"/>
      <c r="DFL30" s="1"/>
      <c r="DFM30" s="1"/>
      <c r="DFN30" s="1"/>
      <c r="DFO30" s="1"/>
      <c r="DFP30" s="1"/>
      <c r="DFQ30" s="1"/>
      <c r="DFR30" s="1"/>
      <c r="DFS30" s="1"/>
      <c r="DFT30" s="1"/>
      <c r="DFU30" s="1"/>
      <c r="DFV30" s="1"/>
      <c r="DFW30" s="1"/>
      <c r="DFX30" s="1"/>
      <c r="DFY30" s="1"/>
      <c r="DFZ30" s="1"/>
      <c r="DGA30" s="1"/>
      <c r="DGB30" s="1"/>
      <c r="DGC30" s="1"/>
      <c r="DGD30" s="1"/>
      <c r="DGE30" s="1"/>
      <c r="DGF30" s="1"/>
      <c r="DGG30" s="1"/>
      <c r="DGH30" s="1"/>
      <c r="DGI30" s="1"/>
      <c r="DGJ30" s="1"/>
      <c r="DGK30" s="1"/>
      <c r="DGL30" s="1"/>
      <c r="DGM30" s="1"/>
      <c r="DGN30" s="1"/>
      <c r="DGO30" s="1"/>
      <c r="DGP30" s="1"/>
      <c r="DGQ30" s="1"/>
      <c r="DGR30" s="1"/>
      <c r="DGS30" s="1"/>
      <c r="DGT30" s="1"/>
      <c r="DGU30" s="1"/>
      <c r="DGV30" s="1"/>
      <c r="DGW30" s="1"/>
      <c r="DGX30" s="1"/>
      <c r="DGY30" s="1"/>
      <c r="DGZ30" s="1"/>
      <c r="DHA30" s="1"/>
      <c r="DHB30" s="1"/>
      <c r="DHC30" s="1"/>
      <c r="DHD30" s="1"/>
      <c r="DHE30" s="1"/>
      <c r="DHF30" s="1"/>
      <c r="DHG30" s="1"/>
      <c r="DHH30" s="1"/>
      <c r="DHI30" s="1"/>
      <c r="DHJ30" s="1"/>
      <c r="DHK30" s="1"/>
      <c r="DHL30" s="1"/>
      <c r="DHM30" s="1"/>
      <c r="DHN30" s="1"/>
      <c r="DHO30" s="1"/>
      <c r="DHP30" s="1"/>
      <c r="DHQ30" s="1"/>
      <c r="DHR30" s="1"/>
      <c r="DHS30" s="1"/>
      <c r="DHT30" s="1"/>
      <c r="DHU30" s="1"/>
      <c r="DHV30" s="1"/>
      <c r="DHW30" s="1"/>
      <c r="DHX30" s="1"/>
      <c r="DHY30" s="1"/>
      <c r="DHZ30" s="1"/>
      <c r="DIA30" s="1"/>
      <c r="DIB30" s="1"/>
      <c r="DIC30" s="1"/>
      <c r="DID30" s="1"/>
      <c r="DIE30" s="1"/>
      <c r="DIF30" s="1"/>
      <c r="DIG30" s="1"/>
      <c r="DIH30" s="1"/>
      <c r="DII30" s="1"/>
      <c r="DIJ30" s="1"/>
      <c r="DIK30" s="1"/>
      <c r="DIL30" s="1"/>
      <c r="DIM30" s="1"/>
      <c r="DIN30" s="1"/>
      <c r="DIO30" s="1"/>
      <c r="DIP30" s="1"/>
      <c r="DIQ30" s="1"/>
      <c r="DIR30" s="1"/>
      <c r="DIS30" s="1"/>
      <c r="DIT30" s="1"/>
      <c r="DIU30" s="1"/>
      <c r="DIV30" s="1"/>
      <c r="DIW30" s="1"/>
      <c r="DIX30" s="1"/>
      <c r="DIY30" s="1"/>
      <c r="DIZ30" s="1"/>
      <c r="DJA30" s="1"/>
      <c r="DJB30" s="1"/>
      <c r="DJC30" s="1"/>
      <c r="DJD30" s="1"/>
      <c r="DJE30" s="1"/>
      <c r="DJF30" s="1"/>
      <c r="DJG30" s="1"/>
      <c r="DJH30" s="1"/>
      <c r="DJI30" s="1"/>
      <c r="DJJ30" s="1"/>
      <c r="DJK30" s="1"/>
      <c r="DJL30" s="1"/>
      <c r="DJM30" s="1"/>
      <c r="DJN30" s="1"/>
      <c r="DJO30" s="1"/>
      <c r="DJP30" s="1"/>
      <c r="DJQ30" s="1"/>
      <c r="DJR30" s="1"/>
      <c r="DJS30" s="1"/>
      <c r="DJT30" s="1"/>
      <c r="DJU30" s="1"/>
      <c r="DJV30" s="1"/>
      <c r="DJW30" s="1"/>
      <c r="DJX30" s="1"/>
      <c r="DJY30" s="1"/>
      <c r="DJZ30" s="1"/>
      <c r="DKA30" s="1"/>
      <c r="DKB30" s="1"/>
      <c r="DKC30" s="1"/>
      <c r="DKD30" s="1"/>
      <c r="DKE30" s="1"/>
      <c r="DKF30" s="1"/>
      <c r="DKG30" s="1"/>
      <c r="DKH30" s="1"/>
      <c r="DKI30" s="1"/>
      <c r="DKJ30" s="1"/>
      <c r="DKK30" s="1"/>
      <c r="DKL30" s="1"/>
      <c r="DKM30" s="1"/>
      <c r="DKN30" s="1"/>
      <c r="DKO30" s="1"/>
      <c r="DKP30" s="1"/>
      <c r="DKQ30" s="1"/>
      <c r="DKR30" s="1"/>
      <c r="DKS30" s="1"/>
      <c r="DKT30" s="1"/>
      <c r="DKU30" s="1"/>
      <c r="DKV30" s="1"/>
      <c r="DKW30" s="1"/>
      <c r="DKX30" s="1"/>
      <c r="DKY30" s="1"/>
      <c r="DKZ30" s="1"/>
      <c r="DLA30" s="1"/>
      <c r="DLB30" s="1"/>
      <c r="DLC30" s="1"/>
      <c r="DLD30" s="1"/>
      <c r="DLE30" s="1"/>
      <c r="DLF30" s="1"/>
      <c r="DLG30" s="1"/>
      <c r="DLH30" s="1"/>
      <c r="DLI30" s="1"/>
      <c r="DLJ30" s="1"/>
      <c r="DLK30" s="1"/>
      <c r="DLL30" s="1"/>
      <c r="DLM30" s="1"/>
      <c r="DLN30" s="1"/>
      <c r="DLO30" s="1"/>
      <c r="DLP30" s="1"/>
      <c r="DLQ30" s="1"/>
      <c r="DLR30" s="1"/>
      <c r="DLS30" s="1"/>
      <c r="DLT30" s="1"/>
      <c r="DLU30" s="1"/>
      <c r="DLV30" s="1"/>
      <c r="DLW30" s="1"/>
      <c r="DLX30" s="1"/>
      <c r="DLY30" s="1"/>
      <c r="DLZ30" s="1"/>
      <c r="DMA30" s="1"/>
      <c r="DMB30" s="1"/>
      <c r="DMC30" s="1"/>
      <c r="DMD30" s="1"/>
      <c r="DME30" s="1"/>
      <c r="DMF30" s="1"/>
      <c r="DMG30" s="1"/>
      <c r="DMH30" s="1"/>
      <c r="DMI30" s="1"/>
      <c r="DMJ30" s="1"/>
      <c r="DMK30" s="1"/>
      <c r="DML30" s="1"/>
      <c r="DMM30" s="1"/>
      <c r="DMN30" s="1"/>
      <c r="DMO30" s="1"/>
      <c r="DMP30" s="1"/>
      <c r="DMQ30" s="1"/>
      <c r="DMR30" s="1"/>
      <c r="DMS30" s="1"/>
      <c r="DMT30" s="1"/>
      <c r="DMU30" s="1"/>
      <c r="DMV30" s="1"/>
      <c r="DMW30" s="1"/>
      <c r="DMX30" s="1"/>
      <c r="DMY30" s="1"/>
      <c r="DMZ30" s="1"/>
      <c r="DNA30" s="1"/>
      <c r="DNB30" s="1"/>
      <c r="DNC30" s="1"/>
      <c r="DND30" s="1"/>
      <c r="DNE30" s="1"/>
      <c r="DNF30" s="1"/>
      <c r="DNG30" s="1"/>
      <c r="DNH30" s="1"/>
      <c r="DNI30" s="1"/>
      <c r="DNJ30" s="1"/>
      <c r="DNK30" s="1"/>
      <c r="DNL30" s="1"/>
      <c r="DNM30" s="1"/>
      <c r="DNN30" s="1"/>
      <c r="DNO30" s="1"/>
      <c r="DNP30" s="1"/>
      <c r="DNQ30" s="1"/>
      <c r="DNR30" s="1"/>
      <c r="DNS30" s="1"/>
      <c r="DNT30" s="1"/>
      <c r="DNU30" s="1"/>
      <c r="DNV30" s="1"/>
      <c r="DNW30" s="1"/>
      <c r="DNX30" s="1"/>
      <c r="DNY30" s="1"/>
      <c r="DNZ30" s="1"/>
      <c r="DOA30" s="1"/>
      <c r="DOB30" s="1"/>
      <c r="DOC30" s="1"/>
      <c r="DOD30" s="1"/>
      <c r="DOE30" s="1"/>
      <c r="DOF30" s="1"/>
      <c r="DOG30" s="1"/>
      <c r="DOH30" s="1"/>
      <c r="DOI30" s="1"/>
      <c r="DOJ30" s="1"/>
      <c r="DOK30" s="1"/>
      <c r="DOL30" s="1"/>
      <c r="DOM30" s="1"/>
      <c r="DON30" s="1"/>
      <c r="DOO30" s="1"/>
      <c r="DOP30" s="1"/>
      <c r="DOQ30" s="1"/>
      <c r="DOR30" s="1"/>
      <c r="DOS30" s="1"/>
      <c r="DOT30" s="1"/>
      <c r="DOU30" s="1"/>
      <c r="DOV30" s="1"/>
      <c r="DOW30" s="1"/>
      <c r="DOX30" s="1"/>
      <c r="DOY30" s="1"/>
      <c r="DOZ30" s="1"/>
      <c r="DPA30" s="1"/>
      <c r="DPB30" s="1"/>
      <c r="DPC30" s="1"/>
      <c r="DPD30" s="1"/>
      <c r="DPE30" s="1"/>
      <c r="DPF30" s="1"/>
      <c r="DPG30" s="1"/>
      <c r="DPH30" s="1"/>
      <c r="DPI30" s="1"/>
      <c r="DPJ30" s="1"/>
      <c r="DPK30" s="1"/>
      <c r="DPL30" s="1"/>
      <c r="DPM30" s="1"/>
      <c r="DPN30" s="1"/>
      <c r="DPO30" s="1"/>
      <c r="DPP30" s="1"/>
      <c r="DPQ30" s="1"/>
      <c r="DPR30" s="1"/>
      <c r="DPS30" s="1"/>
      <c r="DPT30" s="1"/>
      <c r="DPU30" s="1"/>
      <c r="DPV30" s="1"/>
      <c r="DPW30" s="1"/>
      <c r="DPX30" s="1"/>
      <c r="DPY30" s="1"/>
      <c r="DPZ30" s="1"/>
      <c r="DQA30" s="1"/>
      <c r="DQB30" s="1"/>
      <c r="DQC30" s="1"/>
      <c r="DQD30" s="1"/>
      <c r="DQE30" s="1"/>
      <c r="DQF30" s="1"/>
      <c r="DQG30" s="1"/>
      <c r="DQH30" s="1"/>
      <c r="DQI30" s="1"/>
      <c r="DQJ30" s="1"/>
      <c r="DQK30" s="1"/>
      <c r="DQL30" s="1"/>
      <c r="DQM30" s="1"/>
      <c r="DQN30" s="1"/>
      <c r="DQO30" s="1"/>
      <c r="DQP30" s="1"/>
      <c r="DQQ30" s="1"/>
      <c r="DQR30" s="1"/>
      <c r="DQS30" s="1"/>
      <c r="DQT30" s="1"/>
      <c r="DQU30" s="1"/>
      <c r="DQV30" s="1"/>
      <c r="DQW30" s="1"/>
      <c r="DQX30" s="1"/>
      <c r="DQY30" s="1"/>
      <c r="DQZ30" s="1"/>
      <c r="DRA30" s="1"/>
      <c r="DRB30" s="1"/>
      <c r="DRC30" s="1"/>
      <c r="DRD30" s="1"/>
      <c r="DRE30" s="1"/>
      <c r="DRF30" s="1"/>
      <c r="DRG30" s="1"/>
      <c r="DRH30" s="1"/>
      <c r="DRI30" s="1"/>
      <c r="DRJ30" s="1"/>
      <c r="DRK30" s="1"/>
      <c r="DRL30" s="1"/>
      <c r="DRM30" s="1"/>
      <c r="DRN30" s="1"/>
      <c r="DRO30" s="1"/>
      <c r="DRP30" s="1"/>
      <c r="DRQ30" s="1"/>
      <c r="DRR30" s="1"/>
      <c r="DRS30" s="1"/>
      <c r="DRT30" s="1"/>
      <c r="DRU30" s="1"/>
      <c r="DRV30" s="1"/>
      <c r="DRW30" s="1"/>
      <c r="DRX30" s="1"/>
      <c r="DRY30" s="1"/>
      <c r="DRZ30" s="1"/>
      <c r="DSA30" s="1"/>
      <c r="DSB30" s="1"/>
      <c r="DSC30" s="1"/>
      <c r="DSD30" s="1"/>
      <c r="DSE30" s="1"/>
      <c r="DSF30" s="1"/>
      <c r="DSG30" s="1"/>
      <c r="DSH30" s="1"/>
      <c r="DSI30" s="1"/>
      <c r="DSJ30" s="1"/>
      <c r="DSK30" s="1"/>
      <c r="DSL30" s="1"/>
      <c r="DSM30" s="1"/>
      <c r="DSN30" s="1"/>
      <c r="DSO30" s="1"/>
      <c r="DSP30" s="1"/>
      <c r="DSQ30" s="1"/>
      <c r="DSR30" s="1"/>
      <c r="DSS30" s="1"/>
      <c r="DST30" s="1"/>
      <c r="DSU30" s="1"/>
      <c r="DSV30" s="1"/>
      <c r="DSW30" s="1"/>
      <c r="DSX30" s="1"/>
      <c r="DSY30" s="1"/>
      <c r="DSZ30" s="1"/>
      <c r="DTA30" s="1"/>
      <c r="DTB30" s="1"/>
      <c r="DTC30" s="1"/>
      <c r="DTD30" s="1"/>
      <c r="DTE30" s="1"/>
      <c r="DTF30" s="1"/>
      <c r="DTG30" s="1"/>
      <c r="DTH30" s="1"/>
      <c r="DTI30" s="1"/>
      <c r="DTJ30" s="1"/>
      <c r="DTK30" s="1"/>
      <c r="DTL30" s="1"/>
      <c r="DTM30" s="1"/>
      <c r="DTN30" s="1"/>
      <c r="DTO30" s="1"/>
      <c r="DTP30" s="1"/>
      <c r="DTQ30" s="1"/>
      <c r="DTR30" s="1"/>
      <c r="DTS30" s="1"/>
      <c r="DTT30" s="1"/>
      <c r="DTU30" s="1"/>
      <c r="DTV30" s="1"/>
      <c r="DTW30" s="1"/>
      <c r="DTX30" s="1"/>
      <c r="DTY30" s="1"/>
      <c r="DTZ30" s="1"/>
      <c r="DUA30" s="1"/>
      <c r="DUB30" s="1"/>
      <c r="DUC30" s="1"/>
      <c r="DUD30" s="1"/>
      <c r="DUE30" s="1"/>
      <c r="DUF30" s="1"/>
      <c r="DUG30" s="1"/>
      <c r="DUH30" s="1"/>
      <c r="DUI30" s="1"/>
      <c r="DUJ30" s="1"/>
      <c r="DUK30" s="1"/>
      <c r="DUL30" s="1"/>
      <c r="DUM30" s="1"/>
      <c r="DUN30" s="1"/>
      <c r="DUO30" s="1"/>
      <c r="DUP30" s="1"/>
      <c r="DUQ30" s="1"/>
      <c r="DUR30" s="1"/>
      <c r="DUS30" s="1"/>
      <c r="DUT30" s="1"/>
      <c r="DUU30" s="1"/>
      <c r="DUV30" s="1"/>
      <c r="DUW30" s="1"/>
      <c r="DUX30" s="1"/>
      <c r="DUY30" s="1"/>
      <c r="DUZ30" s="1"/>
      <c r="DVA30" s="1"/>
      <c r="DVB30" s="1"/>
      <c r="DVC30" s="1"/>
      <c r="DVD30" s="1"/>
      <c r="DVE30" s="1"/>
      <c r="DVF30" s="1"/>
      <c r="DVG30" s="1"/>
      <c r="DVH30" s="1"/>
      <c r="DVI30" s="1"/>
      <c r="DVJ30" s="1"/>
      <c r="DVK30" s="1"/>
      <c r="DVL30" s="1"/>
      <c r="DVM30" s="1"/>
      <c r="DVN30" s="1"/>
      <c r="DVO30" s="1"/>
      <c r="DVP30" s="1"/>
      <c r="DVQ30" s="1"/>
      <c r="DVR30" s="1"/>
      <c r="DVS30" s="1"/>
      <c r="DVT30" s="1"/>
      <c r="DVU30" s="1"/>
      <c r="DVV30" s="1"/>
      <c r="DVW30" s="1"/>
      <c r="DVX30" s="1"/>
      <c r="DVY30" s="1"/>
      <c r="DVZ30" s="1"/>
      <c r="DWA30" s="1"/>
      <c r="DWB30" s="1"/>
      <c r="DWC30" s="1"/>
      <c r="DWD30" s="1"/>
      <c r="DWE30" s="1"/>
      <c r="DWF30" s="1"/>
      <c r="DWG30" s="1"/>
      <c r="DWH30" s="1"/>
      <c r="DWI30" s="1"/>
      <c r="DWJ30" s="1"/>
      <c r="DWK30" s="1"/>
      <c r="DWL30" s="1"/>
      <c r="DWM30" s="1"/>
      <c r="DWN30" s="1"/>
      <c r="DWO30" s="1"/>
      <c r="DWP30" s="1"/>
      <c r="DWQ30" s="1"/>
      <c r="DWR30" s="1"/>
      <c r="DWS30" s="1"/>
      <c r="DWT30" s="1"/>
      <c r="DWU30" s="1"/>
      <c r="DWV30" s="1"/>
      <c r="DWW30" s="1"/>
      <c r="DWX30" s="1"/>
      <c r="DWY30" s="1"/>
      <c r="DWZ30" s="1"/>
      <c r="DXA30" s="1"/>
      <c r="DXB30" s="1"/>
      <c r="DXC30" s="1"/>
      <c r="DXD30" s="1"/>
      <c r="DXE30" s="1"/>
      <c r="DXF30" s="1"/>
      <c r="DXG30" s="1"/>
      <c r="DXH30" s="1"/>
      <c r="DXI30" s="1"/>
      <c r="DXJ30" s="1"/>
      <c r="DXK30" s="1"/>
      <c r="DXL30" s="1"/>
      <c r="DXM30" s="1"/>
      <c r="DXN30" s="1"/>
      <c r="DXO30" s="1"/>
      <c r="DXP30" s="1"/>
      <c r="DXQ30" s="1"/>
      <c r="DXR30" s="1"/>
      <c r="DXS30" s="1"/>
      <c r="DXT30" s="1"/>
      <c r="DXU30" s="1"/>
      <c r="DXV30" s="1"/>
      <c r="DXW30" s="1"/>
      <c r="DXX30" s="1"/>
      <c r="DXY30" s="1"/>
      <c r="DXZ30" s="1"/>
      <c r="DYA30" s="1"/>
      <c r="DYB30" s="1"/>
      <c r="DYC30" s="1"/>
      <c r="DYD30" s="1"/>
      <c r="DYE30" s="1"/>
      <c r="DYF30" s="1"/>
      <c r="DYG30" s="1"/>
      <c r="DYH30" s="1"/>
      <c r="DYI30" s="1"/>
      <c r="DYJ30" s="1"/>
      <c r="DYK30" s="1"/>
      <c r="DYL30" s="1"/>
      <c r="DYM30" s="1"/>
      <c r="DYN30" s="1"/>
      <c r="DYO30" s="1"/>
      <c r="DYP30" s="1"/>
      <c r="DYQ30" s="1"/>
      <c r="DYR30" s="1"/>
      <c r="DYS30" s="1"/>
      <c r="DYT30" s="1"/>
      <c r="DYU30" s="1"/>
      <c r="DYV30" s="1"/>
      <c r="DYW30" s="1"/>
      <c r="DYX30" s="1"/>
      <c r="DYY30" s="1"/>
      <c r="DYZ30" s="1"/>
      <c r="DZA30" s="1"/>
      <c r="DZB30" s="1"/>
      <c r="DZC30" s="1"/>
      <c r="DZD30" s="1"/>
      <c r="DZE30" s="1"/>
      <c r="DZF30" s="1"/>
      <c r="DZG30" s="1"/>
      <c r="DZH30" s="1"/>
      <c r="DZI30" s="1"/>
      <c r="DZJ30" s="1"/>
      <c r="DZK30" s="1"/>
      <c r="DZL30" s="1"/>
      <c r="DZM30" s="1"/>
      <c r="DZN30" s="1"/>
      <c r="DZO30" s="1"/>
      <c r="DZP30" s="1"/>
      <c r="DZQ30" s="1"/>
      <c r="DZR30" s="1"/>
      <c r="DZS30" s="1"/>
      <c r="DZT30" s="1"/>
      <c r="DZU30" s="1"/>
      <c r="DZV30" s="1"/>
      <c r="DZW30" s="1"/>
      <c r="DZX30" s="1"/>
      <c r="DZY30" s="1"/>
      <c r="DZZ30" s="1"/>
      <c r="EAA30" s="1"/>
      <c r="EAB30" s="1"/>
      <c r="EAC30" s="1"/>
      <c r="EAD30" s="1"/>
      <c r="EAE30" s="1"/>
      <c r="EAF30" s="1"/>
      <c r="EAG30" s="1"/>
      <c r="EAH30" s="1"/>
      <c r="EAI30" s="1"/>
      <c r="EAJ30" s="1"/>
      <c r="EAK30" s="1"/>
      <c r="EAL30" s="1"/>
      <c r="EAM30" s="1"/>
      <c r="EAN30" s="1"/>
      <c r="EAO30" s="1"/>
      <c r="EAP30" s="1"/>
      <c r="EAQ30" s="1"/>
      <c r="EAR30" s="1"/>
      <c r="EAS30" s="1"/>
      <c r="EAT30" s="1"/>
      <c r="EAU30" s="1"/>
      <c r="EAV30" s="1"/>
      <c r="EAW30" s="1"/>
      <c r="EAX30" s="1"/>
      <c r="EAY30" s="1"/>
      <c r="EAZ30" s="1"/>
      <c r="EBA30" s="1"/>
      <c r="EBB30" s="1"/>
      <c r="EBC30" s="1"/>
      <c r="EBD30" s="1"/>
      <c r="EBE30" s="1"/>
      <c r="EBF30" s="1"/>
      <c r="EBG30" s="1"/>
      <c r="EBH30" s="1"/>
      <c r="EBI30" s="1"/>
      <c r="EBJ30" s="1"/>
      <c r="EBK30" s="1"/>
      <c r="EBL30" s="1"/>
      <c r="EBM30" s="1"/>
      <c r="EBN30" s="1"/>
      <c r="EBO30" s="1"/>
      <c r="EBP30" s="1"/>
      <c r="EBQ30" s="1"/>
      <c r="EBR30" s="1"/>
      <c r="EBS30" s="1"/>
      <c r="EBT30" s="1"/>
      <c r="EBU30" s="1"/>
      <c r="EBV30" s="1"/>
      <c r="EBW30" s="1"/>
      <c r="EBX30" s="1"/>
      <c r="EBY30" s="1"/>
      <c r="EBZ30" s="1"/>
      <c r="ECA30" s="1"/>
      <c r="ECB30" s="1"/>
      <c r="ECC30" s="1"/>
      <c r="ECD30" s="1"/>
      <c r="ECE30" s="1"/>
      <c r="ECF30" s="1"/>
      <c r="ECG30" s="1"/>
      <c r="ECH30" s="1"/>
      <c r="ECI30" s="1"/>
      <c r="ECJ30" s="1"/>
      <c r="ECK30" s="1"/>
      <c r="ECL30" s="1"/>
      <c r="ECM30" s="1"/>
      <c r="ECN30" s="1"/>
      <c r="ECO30" s="1"/>
      <c r="ECP30" s="1"/>
      <c r="ECQ30" s="1"/>
      <c r="ECR30" s="1"/>
      <c r="ECS30" s="1"/>
      <c r="ECT30" s="1"/>
      <c r="ECU30" s="1"/>
      <c r="ECV30" s="1"/>
      <c r="ECW30" s="1"/>
      <c r="ECX30" s="1"/>
      <c r="ECY30" s="1"/>
      <c r="ECZ30" s="1"/>
      <c r="EDA30" s="1"/>
      <c r="EDB30" s="1"/>
      <c r="EDC30" s="1"/>
      <c r="EDD30" s="1"/>
      <c r="EDE30" s="1"/>
      <c r="EDF30" s="1"/>
      <c r="EDG30" s="1"/>
      <c r="EDH30" s="1"/>
      <c r="EDI30" s="1"/>
      <c r="EDJ30" s="1"/>
      <c r="EDK30" s="1"/>
      <c r="EDL30" s="1"/>
      <c r="EDM30" s="1"/>
      <c r="EDN30" s="1"/>
      <c r="EDO30" s="1"/>
      <c r="EDP30" s="1"/>
      <c r="EDQ30" s="1"/>
      <c r="EDR30" s="1"/>
      <c r="EDS30" s="1"/>
      <c r="EDT30" s="1"/>
      <c r="EDU30" s="1"/>
      <c r="EDV30" s="1"/>
      <c r="EDW30" s="1"/>
      <c r="EDX30" s="1"/>
      <c r="EDY30" s="1"/>
      <c r="EDZ30" s="1"/>
      <c r="EEA30" s="1"/>
      <c r="EEB30" s="1"/>
      <c r="EEC30" s="1"/>
      <c r="EED30" s="1"/>
      <c r="EEE30" s="1"/>
      <c r="EEF30" s="1"/>
      <c r="EEG30" s="1"/>
      <c r="EEH30" s="1"/>
      <c r="EEI30" s="1"/>
      <c r="EEJ30" s="1"/>
      <c r="EEK30" s="1"/>
      <c r="EEL30" s="1"/>
      <c r="EEM30" s="1"/>
      <c r="EEN30" s="1"/>
      <c r="EEO30" s="1"/>
      <c r="EEP30" s="1"/>
      <c r="EEQ30" s="1"/>
      <c r="EER30" s="1"/>
      <c r="EES30" s="1"/>
      <c r="EET30" s="1"/>
      <c r="EEU30" s="1"/>
      <c r="EEV30" s="1"/>
      <c r="EEW30" s="1"/>
      <c r="EEX30" s="1"/>
      <c r="EEY30" s="1"/>
      <c r="EEZ30" s="1"/>
      <c r="EFA30" s="1"/>
      <c r="EFB30" s="1"/>
      <c r="EFC30" s="1"/>
      <c r="EFD30" s="1"/>
      <c r="EFE30" s="1"/>
      <c r="EFF30" s="1"/>
      <c r="EFG30" s="1"/>
      <c r="EFH30" s="1"/>
      <c r="EFI30" s="1"/>
      <c r="EFJ30" s="1"/>
      <c r="EFK30" s="1"/>
      <c r="EFL30" s="1"/>
      <c r="EFM30" s="1"/>
      <c r="EFN30" s="1"/>
      <c r="EFO30" s="1"/>
      <c r="EFP30" s="1"/>
      <c r="EFQ30" s="1"/>
      <c r="EFR30" s="1"/>
      <c r="EFS30" s="1"/>
      <c r="EFT30" s="1"/>
      <c r="EFU30" s="1"/>
      <c r="EFV30" s="1"/>
      <c r="EFW30" s="1"/>
      <c r="EFX30" s="1"/>
      <c r="EFY30" s="1"/>
      <c r="EFZ30" s="1"/>
      <c r="EGA30" s="1"/>
      <c r="EGB30" s="1"/>
      <c r="EGC30" s="1"/>
      <c r="EGD30" s="1"/>
      <c r="EGE30" s="1"/>
      <c r="EGF30" s="1"/>
      <c r="EGG30" s="1"/>
      <c r="EGH30" s="1"/>
      <c r="EGI30" s="1"/>
      <c r="EGJ30" s="1"/>
      <c r="EGK30" s="1"/>
      <c r="EGL30" s="1"/>
      <c r="EGM30" s="1"/>
      <c r="EGN30" s="1"/>
      <c r="EGO30" s="1"/>
      <c r="EGP30" s="1"/>
      <c r="EGQ30" s="1"/>
      <c r="EGR30" s="1"/>
      <c r="EGS30" s="1"/>
      <c r="EGT30" s="1"/>
      <c r="EGU30" s="1"/>
      <c r="EGV30" s="1"/>
      <c r="EGW30" s="1"/>
      <c r="EGX30" s="1"/>
      <c r="EGY30" s="1"/>
      <c r="EGZ30" s="1"/>
      <c r="EHA30" s="1"/>
      <c r="EHB30" s="1"/>
      <c r="EHC30" s="1"/>
      <c r="EHD30" s="1"/>
      <c r="EHE30" s="1"/>
      <c r="EHF30" s="1"/>
      <c r="EHG30" s="1"/>
      <c r="EHH30" s="1"/>
      <c r="EHI30" s="1"/>
      <c r="EHJ30" s="1"/>
      <c r="EHK30" s="1"/>
      <c r="EHL30" s="1"/>
      <c r="EHM30" s="1"/>
      <c r="EHN30" s="1"/>
      <c r="EHO30" s="1"/>
      <c r="EHP30" s="1"/>
      <c r="EHQ30" s="1"/>
      <c r="EHR30" s="1"/>
      <c r="EHS30" s="1"/>
      <c r="EHT30" s="1"/>
      <c r="EHU30" s="1"/>
      <c r="EHV30" s="1"/>
      <c r="EHW30" s="1"/>
      <c r="EHX30" s="1"/>
      <c r="EHY30" s="1"/>
      <c r="EHZ30" s="1"/>
      <c r="EIA30" s="1"/>
      <c r="EIB30" s="1"/>
      <c r="EIC30" s="1"/>
      <c r="EID30" s="1"/>
      <c r="EIE30" s="1"/>
      <c r="EIF30" s="1"/>
      <c r="EIG30" s="1"/>
      <c r="EIH30" s="1"/>
      <c r="EII30" s="1"/>
      <c r="EIJ30" s="1"/>
      <c r="EIK30" s="1"/>
      <c r="EIL30" s="1"/>
      <c r="EIM30" s="1"/>
      <c r="EIN30" s="1"/>
      <c r="EIO30" s="1"/>
      <c r="EIP30" s="1"/>
      <c r="EIQ30" s="1"/>
      <c r="EIR30" s="1"/>
      <c r="EIS30" s="1"/>
      <c r="EIT30" s="1"/>
      <c r="EIU30" s="1"/>
      <c r="EIV30" s="1"/>
      <c r="EIW30" s="1"/>
      <c r="EIX30" s="1"/>
      <c r="EIY30" s="1"/>
      <c r="EIZ30" s="1"/>
      <c r="EJA30" s="1"/>
      <c r="EJB30" s="1"/>
      <c r="EJC30" s="1"/>
      <c r="EJD30" s="1"/>
      <c r="EJE30" s="1"/>
      <c r="EJF30" s="1"/>
      <c r="EJG30" s="1"/>
      <c r="EJH30" s="1"/>
      <c r="EJI30" s="1"/>
      <c r="EJJ30" s="1"/>
      <c r="EJK30" s="1"/>
      <c r="EJL30" s="1"/>
      <c r="EJM30" s="1"/>
      <c r="EJN30" s="1"/>
      <c r="EJO30" s="1"/>
      <c r="EJP30" s="1"/>
      <c r="EJQ30" s="1"/>
      <c r="EJR30" s="1"/>
      <c r="EJS30" s="1"/>
      <c r="EJT30" s="1"/>
      <c r="EJU30" s="1"/>
      <c r="EJV30" s="1"/>
      <c r="EJW30" s="1"/>
      <c r="EJX30" s="1"/>
      <c r="EJY30" s="1"/>
      <c r="EJZ30" s="1"/>
      <c r="EKA30" s="1"/>
      <c r="EKB30" s="1"/>
      <c r="EKC30" s="1"/>
      <c r="EKD30" s="1"/>
      <c r="EKE30" s="1"/>
      <c r="EKF30" s="1"/>
      <c r="EKG30" s="1"/>
      <c r="EKH30" s="1"/>
      <c r="EKI30" s="1"/>
      <c r="EKJ30" s="1"/>
      <c r="EKK30" s="1"/>
      <c r="EKL30" s="1"/>
      <c r="EKM30" s="1"/>
      <c r="EKN30" s="1"/>
      <c r="EKO30" s="1"/>
      <c r="EKP30" s="1"/>
      <c r="EKQ30" s="1"/>
      <c r="EKR30" s="1"/>
      <c r="EKS30" s="1"/>
      <c r="EKT30" s="1"/>
      <c r="EKU30" s="1"/>
      <c r="EKV30" s="1"/>
      <c r="EKW30" s="1"/>
      <c r="EKX30" s="1"/>
      <c r="EKY30" s="1"/>
      <c r="EKZ30" s="1"/>
      <c r="ELA30" s="1"/>
      <c r="ELB30" s="1"/>
      <c r="ELC30" s="1"/>
      <c r="ELD30" s="1"/>
      <c r="ELE30" s="1"/>
      <c r="ELF30" s="1"/>
      <c r="ELG30" s="1"/>
      <c r="ELH30" s="1"/>
      <c r="ELI30" s="1"/>
      <c r="ELJ30" s="1"/>
      <c r="ELK30" s="1"/>
      <c r="ELL30" s="1"/>
      <c r="ELM30" s="1"/>
      <c r="ELN30" s="1"/>
      <c r="ELO30" s="1"/>
      <c r="ELP30" s="1"/>
      <c r="ELQ30" s="1"/>
      <c r="ELR30" s="1"/>
      <c r="ELS30" s="1"/>
      <c r="ELT30" s="1"/>
      <c r="ELU30" s="1"/>
      <c r="ELV30" s="1"/>
      <c r="ELW30" s="1"/>
      <c r="ELX30" s="1"/>
      <c r="ELY30" s="1"/>
      <c r="ELZ30" s="1"/>
      <c r="EMA30" s="1"/>
      <c r="EMB30" s="1"/>
      <c r="EMC30" s="1"/>
      <c r="EMD30" s="1"/>
      <c r="EME30" s="1"/>
      <c r="EMF30" s="1"/>
      <c r="EMG30" s="1"/>
      <c r="EMH30" s="1"/>
      <c r="EMI30" s="1"/>
      <c r="EMJ30" s="1"/>
      <c r="EMK30" s="1"/>
      <c r="EML30" s="1"/>
      <c r="EMM30" s="1"/>
      <c r="EMN30" s="1"/>
      <c r="EMO30" s="1"/>
      <c r="EMP30" s="1"/>
      <c r="EMQ30" s="1"/>
      <c r="EMR30" s="1"/>
      <c r="EMS30" s="1"/>
      <c r="EMT30" s="1"/>
      <c r="EMU30" s="1"/>
      <c r="EMV30" s="1"/>
      <c r="EMW30" s="1"/>
      <c r="EMX30" s="1"/>
      <c r="EMY30" s="1"/>
      <c r="EMZ30" s="1"/>
      <c r="ENA30" s="1"/>
      <c r="ENB30" s="1"/>
      <c r="ENC30" s="1"/>
      <c r="END30" s="1"/>
      <c r="ENE30" s="1"/>
      <c r="ENF30" s="1"/>
      <c r="ENG30" s="1"/>
      <c r="ENH30" s="1"/>
      <c r="ENI30" s="1"/>
      <c r="ENJ30" s="1"/>
      <c r="ENK30" s="1"/>
      <c r="ENL30" s="1"/>
      <c r="ENM30" s="1"/>
      <c r="ENN30" s="1"/>
      <c r="ENO30" s="1"/>
      <c r="ENP30" s="1"/>
      <c r="ENQ30" s="1"/>
      <c r="ENR30" s="1"/>
      <c r="ENS30" s="1"/>
      <c r="ENT30" s="1"/>
      <c r="ENU30" s="1"/>
      <c r="ENV30" s="1"/>
      <c r="ENW30" s="1"/>
      <c r="ENX30" s="1"/>
      <c r="ENY30" s="1"/>
      <c r="ENZ30" s="1"/>
      <c r="EOA30" s="1"/>
      <c r="EOB30" s="1"/>
      <c r="EOC30" s="1"/>
      <c r="EOD30" s="1"/>
      <c r="EOE30" s="1"/>
      <c r="EOF30" s="1"/>
      <c r="EOG30" s="1"/>
      <c r="EOH30" s="1"/>
      <c r="EOI30" s="1"/>
      <c r="EOJ30" s="1"/>
      <c r="EOK30" s="1"/>
      <c r="EOL30" s="1"/>
      <c r="EOM30" s="1"/>
      <c r="EON30" s="1"/>
      <c r="EOO30" s="1"/>
      <c r="EOP30" s="1"/>
      <c r="EOQ30" s="1"/>
      <c r="EOR30" s="1"/>
      <c r="EOS30" s="1"/>
      <c r="EOT30" s="1"/>
      <c r="EOU30" s="1"/>
      <c r="EOV30" s="1"/>
      <c r="EOW30" s="1"/>
      <c r="EOX30" s="1"/>
      <c r="EOY30" s="1"/>
      <c r="EOZ30" s="1"/>
      <c r="EPA30" s="1"/>
      <c r="EPB30" s="1"/>
      <c r="EPC30" s="1"/>
      <c r="EPD30" s="1"/>
      <c r="EPE30" s="1"/>
      <c r="EPF30" s="1"/>
      <c r="EPG30" s="1"/>
      <c r="EPH30" s="1"/>
      <c r="EPI30" s="1"/>
      <c r="EPJ30" s="1"/>
      <c r="EPK30" s="1"/>
      <c r="EPL30" s="1"/>
      <c r="EPM30" s="1"/>
      <c r="EPN30" s="1"/>
      <c r="EPO30" s="1"/>
      <c r="EPP30" s="1"/>
      <c r="EPQ30" s="1"/>
      <c r="EPR30" s="1"/>
      <c r="EPS30" s="1"/>
      <c r="EPT30" s="1"/>
      <c r="EPU30" s="1"/>
      <c r="EPV30" s="1"/>
      <c r="EPW30" s="1"/>
      <c r="EPX30" s="1"/>
      <c r="EPY30" s="1"/>
      <c r="EPZ30" s="1"/>
      <c r="EQA30" s="1"/>
      <c r="EQB30" s="1"/>
      <c r="EQC30" s="1"/>
      <c r="EQD30" s="1"/>
      <c r="EQE30" s="1"/>
      <c r="EQF30" s="1"/>
      <c r="EQG30" s="1"/>
      <c r="EQH30" s="1"/>
      <c r="EQI30" s="1"/>
      <c r="EQJ30" s="1"/>
      <c r="EQK30" s="1"/>
      <c r="EQL30" s="1"/>
      <c r="EQM30" s="1"/>
      <c r="EQN30" s="1"/>
      <c r="EQO30" s="1"/>
      <c r="EQP30" s="1"/>
      <c r="EQQ30" s="1"/>
      <c r="EQR30" s="1"/>
      <c r="EQS30" s="1"/>
      <c r="EQT30" s="1"/>
      <c r="EQU30" s="1"/>
      <c r="EQV30" s="1"/>
      <c r="EQW30" s="1"/>
      <c r="EQX30" s="1"/>
      <c r="EQY30" s="1"/>
      <c r="EQZ30" s="1"/>
      <c r="ERA30" s="1"/>
      <c r="ERB30" s="1"/>
      <c r="ERC30" s="1"/>
      <c r="ERD30" s="1"/>
      <c r="ERE30" s="1"/>
      <c r="ERF30" s="1"/>
      <c r="ERG30" s="1"/>
      <c r="ERH30" s="1"/>
      <c r="ERI30" s="1"/>
      <c r="ERJ30" s="1"/>
      <c r="ERK30" s="1"/>
      <c r="ERL30" s="1"/>
      <c r="ERM30" s="1"/>
      <c r="ERN30" s="1"/>
      <c r="ERO30" s="1"/>
      <c r="ERP30" s="1"/>
      <c r="ERQ30" s="1"/>
      <c r="ERR30" s="1"/>
      <c r="ERS30" s="1"/>
      <c r="ERT30" s="1"/>
      <c r="ERU30" s="1"/>
      <c r="ERV30" s="1"/>
      <c r="ERW30" s="1"/>
      <c r="ERX30" s="1"/>
      <c r="ERY30" s="1"/>
      <c r="ERZ30" s="1"/>
      <c r="ESA30" s="1"/>
      <c r="ESB30" s="1"/>
      <c r="ESC30" s="1"/>
      <c r="ESD30" s="1"/>
      <c r="ESE30" s="1"/>
      <c r="ESF30" s="1"/>
      <c r="ESG30" s="1"/>
      <c r="ESH30" s="1"/>
      <c r="ESI30" s="1"/>
      <c r="ESJ30" s="1"/>
      <c r="ESK30" s="1"/>
      <c r="ESL30" s="1"/>
      <c r="ESM30" s="1"/>
      <c r="ESN30" s="1"/>
      <c r="ESO30" s="1"/>
      <c r="ESP30" s="1"/>
      <c r="ESQ30" s="1"/>
      <c r="ESR30" s="1"/>
      <c r="ESS30" s="1"/>
      <c r="EST30" s="1"/>
      <c r="ESU30" s="1"/>
      <c r="ESV30" s="1"/>
      <c r="ESW30" s="1"/>
      <c r="ESX30" s="1"/>
      <c r="ESY30" s="1"/>
      <c r="ESZ30" s="1"/>
      <c r="ETA30" s="1"/>
      <c r="ETB30" s="1"/>
      <c r="ETC30" s="1"/>
      <c r="ETD30" s="1"/>
      <c r="ETE30" s="1"/>
      <c r="ETF30" s="1"/>
      <c r="ETG30" s="1"/>
      <c r="ETH30" s="1"/>
      <c r="ETI30" s="1"/>
      <c r="ETJ30" s="1"/>
      <c r="ETK30" s="1"/>
      <c r="ETL30" s="1"/>
      <c r="ETM30" s="1"/>
      <c r="ETN30" s="1"/>
      <c r="ETO30" s="1"/>
      <c r="ETP30" s="1"/>
      <c r="ETQ30" s="1"/>
      <c r="ETR30" s="1"/>
      <c r="ETS30" s="1"/>
      <c r="ETT30" s="1"/>
      <c r="ETU30" s="1"/>
      <c r="ETV30" s="1"/>
      <c r="ETW30" s="1"/>
      <c r="ETX30" s="1"/>
      <c r="ETY30" s="1"/>
      <c r="ETZ30" s="1"/>
      <c r="EUA30" s="1"/>
      <c r="EUB30" s="1"/>
      <c r="EUC30" s="1"/>
      <c r="EUD30" s="1"/>
      <c r="EUE30" s="1"/>
      <c r="EUF30" s="1"/>
      <c r="EUG30" s="1"/>
      <c r="EUH30" s="1"/>
      <c r="EUI30" s="1"/>
      <c r="EUJ30" s="1"/>
      <c r="EUK30" s="1"/>
      <c r="EUL30" s="1"/>
      <c r="EUM30" s="1"/>
      <c r="EUN30" s="1"/>
      <c r="EUO30" s="1"/>
      <c r="EUP30" s="1"/>
      <c r="EUQ30" s="1"/>
      <c r="EUR30" s="1"/>
      <c r="EUS30" s="1"/>
      <c r="EUT30" s="1"/>
      <c r="EUU30" s="1"/>
      <c r="EUV30" s="1"/>
      <c r="EUW30" s="1"/>
      <c r="EUX30" s="1"/>
      <c r="EUY30" s="1"/>
      <c r="EUZ30" s="1"/>
      <c r="EVA30" s="1"/>
      <c r="EVB30" s="1"/>
      <c r="EVC30" s="1"/>
      <c r="EVD30" s="1"/>
      <c r="EVE30" s="1"/>
      <c r="EVF30" s="1"/>
      <c r="EVG30" s="1"/>
      <c r="EVH30" s="1"/>
      <c r="EVI30" s="1"/>
      <c r="EVJ30" s="1"/>
      <c r="EVK30" s="1"/>
      <c r="EVL30" s="1"/>
      <c r="EVM30" s="1"/>
      <c r="EVN30" s="1"/>
      <c r="EVO30" s="1"/>
      <c r="EVP30" s="1"/>
      <c r="EVQ30" s="1"/>
      <c r="EVR30" s="1"/>
      <c r="EVS30" s="1"/>
      <c r="EVT30" s="1"/>
      <c r="EVU30" s="1"/>
      <c r="EVV30" s="1"/>
      <c r="EVW30" s="1"/>
      <c r="EVX30" s="1"/>
      <c r="EVY30" s="1"/>
      <c r="EVZ30" s="1"/>
      <c r="EWA30" s="1"/>
      <c r="EWB30" s="1"/>
      <c r="EWC30" s="1"/>
      <c r="EWD30" s="1"/>
      <c r="EWE30" s="1"/>
      <c r="EWF30" s="1"/>
      <c r="EWG30" s="1"/>
      <c r="EWH30" s="1"/>
      <c r="EWI30" s="1"/>
      <c r="EWJ30" s="1"/>
      <c r="EWK30" s="1"/>
      <c r="EWL30" s="1"/>
      <c r="EWM30" s="1"/>
      <c r="EWN30" s="1"/>
      <c r="EWO30" s="1"/>
      <c r="EWP30" s="1"/>
      <c r="EWQ30" s="1"/>
      <c r="EWR30" s="1"/>
      <c r="EWS30" s="1"/>
      <c r="EWT30" s="1"/>
      <c r="EWU30" s="1"/>
      <c r="EWV30" s="1"/>
      <c r="EWW30" s="1"/>
      <c r="EWX30" s="1"/>
      <c r="EWY30" s="1"/>
      <c r="EWZ30" s="1"/>
      <c r="EXA30" s="1"/>
      <c r="EXB30" s="1"/>
      <c r="EXC30" s="1"/>
      <c r="EXD30" s="1"/>
      <c r="EXE30" s="1"/>
      <c r="EXF30" s="1"/>
      <c r="EXG30" s="1"/>
      <c r="EXH30" s="1"/>
      <c r="EXI30" s="1"/>
      <c r="EXJ30" s="1"/>
      <c r="EXK30" s="1"/>
      <c r="EXL30" s="1"/>
      <c r="EXM30" s="1"/>
      <c r="EXN30" s="1"/>
      <c r="EXO30" s="1"/>
      <c r="EXP30" s="1"/>
      <c r="EXQ30" s="1"/>
      <c r="EXR30" s="1"/>
      <c r="EXS30" s="1"/>
      <c r="EXT30" s="1"/>
      <c r="EXU30" s="1"/>
      <c r="EXV30" s="1"/>
      <c r="EXW30" s="1"/>
      <c r="EXX30" s="1"/>
      <c r="EXY30" s="1"/>
      <c r="EXZ30" s="1"/>
      <c r="EYA30" s="1"/>
      <c r="EYB30" s="1"/>
      <c r="EYC30" s="1"/>
      <c r="EYD30" s="1"/>
      <c r="EYE30" s="1"/>
      <c r="EYF30" s="1"/>
      <c r="EYG30" s="1"/>
      <c r="EYH30" s="1"/>
      <c r="EYI30" s="1"/>
      <c r="EYJ30" s="1"/>
      <c r="EYK30" s="1"/>
      <c r="EYL30" s="1"/>
      <c r="EYM30" s="1"/>
      <c r="EYN30" s="1"/>
      <c r="EYO30" s="1"/>
      <c r="EYP30" s="1"/>
      <c r="EYQ30" s="1"/>
      <c r="EYR30" s="1"/>
      <c r="EYS30" s="1"/>
      <c r="EYT30" s="1"/>
      <c r="EYU30" s="1"/>
      <c r="EYV30" s="1"/>
      <c r="EYW30" s="1"/>
      <c r="EYX30" s="1"/>
      <c r="EYY30" s="1"/>
      <c r="EYZ30" s="1"/>
      <c r="EZA30" s="1"/>
      <c r="EZB30" s="1"/>
      <c r="EZC30" s="1"/>
      <c r="EZD30" s="1"/>
      <c r="EZE30" s="1"/>
      <c r="EZF30" s="1"/>
      <c r="EZG30" s="1"/>
      <c r="EZH30" s="1"/>
      <c r="EZI30" s="1"/>
      <c r="EZJ30" s="1"/>
      <c r="EZK30" s="1"/>
      <c r="EZL30" s="1"/>
      <c r="EZM30" s="1"/>
      <c r="EZN30" s="1"/>
      <c r="EZO30" s="1"/>
      <c r="EZP30" s="1"/>
      <c r="EZQ30" s="1"/>
      <c r="EZR30" s="1"/>
      <c r="EZS30" s="1"/>
      <c r="EZT30" s="1"/>
      <c r="EZU30" s="1"/>
      <c r="EZV30" s="1"/>
      <c r="EZW30" s="1"/>
      <c r="EZX30" s="1"/>
      <c r="EZY30" s="1"/>
      <c r="EZZ30" s="1"/>
      <c r="FAA30" s="1"/>
      <c r="FAB30" s="1"/>
      <c r="FAC30" s="1"/>
      <c r="FAD30" s="1"/>
      <c r="FAE30" s="1"/>
      <c r="FAF30" s="1"/>
      <c r="FAG30" s="1"/>
      <c r="FAH30" s="1"/>
      <c r="FAI30" s="1"/>
      <c r="FAJ30" s="1"/>
      <c r="FAK30" s="1"/>
      <c r="FAL30" s="1"/>
      <c r="FAM30" s="1"/>
      <c r="FAN30" s="1"/>
      <c r="FAO30" s="1"/>
      <c r="FAP30" s="1"/>
      <c r="FAQ30" s="1"/>
      <c r="FAR30" s="1"/>
      <c r="FAS30" s="1"/>
      <c r="FAT30" s="1"/>
      <c r="FAU30" s="1"/>
      <c r="FAV30" s="1"/>
      <c r="FAW30" s="1"/>
      <c r="FAX30" s="1"/>
      <c r="FAY30" s="1"/>
      <c r="FAZ30" s="1"/>
      <c r="FBA30" s="1"/>
      <c r="FBB30" s="1"/>
      <c r="FBC30" s="1"/>
      <c r="FBD30" s="1"/>
      <c r="FBE30" s="1"/>
      <c r="FBF30" s="1"/>
      <c r="FBG30" s="1"/>
      <c r="FBH30" s="1"/>
      <c r="FBI30" s="1"/>
      <c r="FBJ30" s="1"/>
      <c r="FBK30" s="1"/>
      <c r="FBL30" s="1"/>
      <c r="FBM30" s="1"/>
      <c r="FBN30" s="1"/>
      <c r="FBO30" s="1"/>
      <c r="FBP30" s="1"/>
      <c r="FBQ30" s="1"/>
      <c r="FBR30" s="1"/>
      <c r="FBS30" s="1"/>
      <c r="FBT30" s="1"/>
      <c r="FBU30" s="1"/>
      <c r="FBV30" s="1"/>
      <c r="FBW30" s="1"/>
      <c r="FBX30" s="1"/>
      <c r="FBY30" s="1"/>
      <c r="FBZ30" s="1"/>
      <c r="FCA30" s="1"/>
      <c r="FCB30" s="1"/>
      <c r="FCC30" s="1"/>
      <c r="FCD30" s="1"/>
      <c r="FCE30" s="1"/>
      <c r="FCF30" s="1"/>
      <c r="FCG30" s="1"/>
      <c r="FCH30" s="1"/>
      <c r="FCI30" s="1"/>
      <c r="FCJ30" s="1"/>
      <c r="FCK30" s="1"/>
      <c r="FCL30" s="1"/>
      <c r="FCM30" s="1"/>
      <c r="FCN30" s="1"/>
      <c r="FCO30" s="1"/>
      <c r="FCP30" s="1"/>
      <c r="FCQ30" s="1"/>
      <c r="FCR30" s="1"/>
      <c r="FCS30" s="1"/>
      <c r="FCT30" s="1"/>
      <c r="FCU30" s="1"/>
      <c r="FCV30" s="1"/>
      <c r="FCW30" s="1"/>
      <c r="FCX30" s="1"/>
      <c r="FCY30" s="1"/>
      <c r="FCZ30" s="1"/>
      <c r="FDA30" s="1"/>
      <c r="FDB30" s="1"/>
      <c r="FDC30" s="1"/>
      <c r="FDD30" s="1"/>
      <c r="FDE30" s="1"/>
      <c r="FDF30" s="1"/>
      <c r="FDG30" s="1"/>
      <c r="FDH30" s="1"/>
      <c r="FDI30" s="1"/>
      <c r="FDJ30" s="1"/>
      <c r="FDK30" s="1"/>
      <c r="FDL30" s="1"/>
      <c r="FDM30" s="1"/>
      <c r="FDN30" s="1"/>
      <c r="FDO30" s="1"/>
      <c r="FDP30" s="1"/>
      <c r="FDQ30" s="1"/>
      <c r="FDR30" s="1"/>
      <c r="FDS30" s="1"/>
      <c r="FDT30" s="1"/>
      <c r="FDU30" s="1"/>
      <c r="FDV30" s="1"/>
      <c r="FDW30" s="1"/>
      <c r="FDX30" s="1"/>
      <c r="FDY30" s="1"/>
      <c r="FDZ30" s="1"/>
      <c r="FEA30" s="1"/>
      <c r="FEB30" s="1"/>
      <c r="FEC30" s="1"/>
      <c r="FED30" s="1"/>
      <c r="FEE30" s="1"/>
      <c r="FEF30" s="1"/>
      <c r="FEG30" s="1"/>
      <c r="FEH30" s="1"/>
      <c r="FEI30" s="1"/>
      <c r="FEJ30" s="1"/>
      <c r="FEK30" s="1"/>
      <c r="FEL30" s="1"/>
      <c r="FEM30" s="1"/>
      <c r="FEN30" s="1"/>
      <c r="FEO30" s="1"/>
      <c r="FEP30" s="1"/>
      <c r="FEQ30" s="1"/>
      <c r="FER30" s="1"/>
      <c r="FES30" s="1"/>
      <c r="FET30" s="1"/>
      <c r="FEU30" s="1"/>
      <c r="FEV30" s="1"/>
      <c r="FEW30" s="1"/>
      <c r="FEX30" s="1"/>
      <c r="FEY30" s="1"/>
      <c r="FEZ30" s="1"/>
      <c r="FFA30" s="1"/>
      <c r="FFB30" s="1"/>
      <c r="FFC30" s="1"/>
      <c r="FFD30" s="1"/>
      <c r="FFE30" s="1"/>
      <c r="FFF30" s="1"/>
      <c r="FFG30" s="1"/>
      <c r="FFH30" s="1"/>
      <c r="FFI30" s="1"/>
      <c r="FFJ30" s="1"/>
      <c r="FFK30" s="1"/>
      <c r="FFL30" s="1"/>
      <c r="FFM30" s="1"/>
      <c r="FFN30" s="1"/>
      <c r="FFO30" s="1"/>
      <c r="FFP30" s="1"/>
      <c r="FFQ30" s="1"/>
      <c r="FFR30" s="1"/>
      <c r="FFS30" s="1"/>
      <c r="FFT30" s="1"/>
      <c r="FFU30" s="1"/>
      <c r="FFV30" s="1"/>
      <c r="FFW30" s="1"/>
      <c r="FFX30" s="1"/>
      <c r="FFY30" s="1"/>
      <c r="FFZ30" s="1"/>
      <c r="FGA30" s="1"/>
      <c r="FGB30" s="1"/>
      <c r="FGC30" s="1"/>
      <c r="FGD30" s="1"/>
      <c r="FGE30" s="1"/>
      <c r="FGF30" s="1"/>
      <c r="FGG30" s="1"/>
      <c r="FGH30" s="1"/>
      <c r="FGI30" s="1"/>
      <c r="FGJ30" s="1"/>
      <c r="FGK30" s="1"/>
      <c r="FGL30" s="1"/>
      <c r="FGM30" s="1"/>
      <c r="FGN30" s="1"/>
      <c r="FGO30" s="1"/>
      <c r="FGP30" s="1"/>
      <c r="FGQ30" s="1"/>
      <c r="FGR30" s="1"/>
      <c r="FGS30" s="1"/>
      <c r="FGT30" s="1"/>
      <c r="FGU30" s="1"/>
      <c r="FGV30" s="1"/>
      <c r="FGW30" s="1"/>
      <c r="FGX30" s="1"/>
      <c r="FGY30" s="1"/>
      <c r="FGZ30" s="1"/>
      <c r="FHA30" s="1"/>
      <c r="FHB30" s="1"/>
      <c r="FHC30" s="1"/>
      <c r="FHD30" s="1"/>
      <c r="FHE30" s="1"/>
      <c r="FHF30" s="1"/>
      <c r="FHG30" s="1"/>
      <c r="FHH30" s="1"/>
      <c r="FHI30" s="1"/>
      <c r="FHJ30" s="1"/>
      <c r="FHK30" s="1"/>
      <c r="FHL30" s="1"/>
      <c r="FHM30" s="1"/>
      <c r="FHN30" s="1"/>
      <c r="FHO30" s="1"/>
      <c r="FHP30" s="1"/>
      <c r="FHQ30" s="1"/>
      <c r="FHR30" s="1"/>
      <c r="FHS30" s="1"/>
      <c r="FHT30" s="1"/>
      <c r="FHU30" s="1"/>
      <c r="FHV30" s="1"/>
      <c r="FHW30" s="1"/>
      <c r="FHX30" s="1"/>
      <c r="FHY30" s="1"/>
      <c r="FHZ30" s="1"/>
      <c r="FIA30" s="1"/>
      <c r="FIB30" s="1"/>
      <c r="FIC30" s="1"/>
      <c r="FID30" s="1"/>
      <c r="FIE30" s="1"/>
      <c r="FIF30" s="1"/>
      <c r="FIG30" s="1"/>
      <c r="FIH30" s="1"/>
      <c r="FII30" s="1"/>
      <c r="FIJ30" s="1"/>
      <c r="FIK30" s="1"/>
      <c r="FIL30" s="1"/>
      <c r="FIM30" s="1"/>
      <c r="FIN30" s="1"/>
      <c r="FIO30" s="1"/>
      <c r="FIP30" s="1"/>
      <c r="FIQ30" s="1"/>
      <c r="FIR30" s="1"/>
      <c r="FIS30" s="1"/>
      <c r="FIT30" s="1"/>
      <c r="FIU30" s="1"/>
      <c r="FIV30" s="1"/>
      <c r="FIW30" s="1"/>
      <c r="FIX30" s="1"/>
      <c r="FIY30" s="1"/>
      <c r="FIZ30" s="1"/>
      <c r="FJA30" s="1"/>
      <c r="FJB30" s="1"/>
      <c r="FJC30" s="1"/>
      <c r="FJD30" s="1"/>
      <c r="FJE30" s="1"/>
      <c r="FJF30" s="1"/>
      <c r="FJG30" s="1"/>
      <c r="FJH30" s="1"/>
      <c r="FJI30" s="1"/>
      <c r="FJJ30" s="1"/>
      <c r="FJK30" s="1"/>
      <c r="FJL30" s="1"/>
      <c r="FJM30" s="1"/>
      <c r="FJN30" s="1"/>
      <c r="FJO30" s="1"/>
      <c r="FJP30" s="1"/>
      <c r="FJQ30" s="1"/>
      <c r="FJR30" s="1"/>
      <c r="FJS30" s="1"/>
      <c r="FJT30" s="1"/>
      <c r="FJU30" s="1"/>
      <c r="FJV30" s="1"/>
      <c r="FJW30" s="1"/>
      <c r="FJX30" s="1"/>
      <c r="FJY30" s="1"/>
      <c r="FJZ30" s="1"/>
      <c r="FKA30" s="1"/>
      <c r="FKB30" s="1"/>
      <c r="FKC30" s="1"/>
      <c r="FKD30" s="1"/>
      <c r="FKE30" s="1"/>
      <c r="FKF30" s="1"/>
      <c r="FKG30" s="1"/>
      <c r="FKH30" s="1"/>
      <c r="FKI30" s="1"/>
      <c r="FKJ30" s="1"/>
      <c r="FKK30" s="1"/>
      <c r="FKL30" s="1"/>
      <c r="FKM30" s="1"/>
      <c r="FKN30" s="1"/>
      <c r="FKO30" s="1"/>
      <c r="FKP30" s="1"/>
      <c r="FKQ30" s="1"/>
      <c r="FKR30" s="1"/>
      <c r="FKS30" s="1"/>
      <c r="FKT30" s="1"/>
      <c r="FKU30" s="1"/>
      <c r="FKV30" s="1"/>
      <c r="FKW30" s="1"/>
      <c r="FKX30" s="1"/>
      <c r="FKY30" s="1"/>
      <c r="FKZ30" s="1"/>
      <c r="FLA30" s="1"/>
      <c r="FLB30" s="1"/>
      <c r="FLC30" s="1"/>
      <c r="FLD30" s="1"/>
      <c r="FLE30" s="1"/>
      <c r="FLF30" s="1"/>
      <c r="FLG30" s="1"/>
      <c r="FLH30" s="1"/>
      <c r="FLI30" s="1"/>
      <c r="FLJ30" s="1"/>
      <c r="FLK30" s="1"/>
      <c r="FLL30" s="1"/>
      <c r="FLM30" s="1"/>
      <c r="FLN30" s="1"/>
      <c r="FLO30" s="1"/>
      <c r="FLP30" s="1"/>
      <c r="FLQ30" s="1"/>
      <c r="FLR30" s="1"/>
      <c r="FLS30" s="1"/>
      <c r="FLT30" s="1"/>
      <c r="FLU30" s="1"/>
      <c r="FLV30" s="1"/>
      <c r="FLW30" s="1"/>
      <c r="FLX30" s="1"/>
      <c r="FLY30" s="1"/>
      <c r="FLZ30" s="1"/>
      <c r="FMA30" s="1"/>
      <c r="FMB30" s="1"/>
      <c r="FMC30" s="1"/>
      <c r="FMD30" s="1"/>
      <c r="FME30" s="1"/>
      <c r="FMF30" s="1"/>
      <c r="FMG30" s="1"/>
      <c r="FMH30" s="1"/>
      <c r="FMI30" s="1"/>
      <c r="FMJ30" s="1"/>
      <c r="FMK30" s="1"/>
      <c r="FML30" s="1"/>
      <c r="FMM30" s="1"/>
      <c r="FMN30" s="1"/>
      <c r="FMO30" s="1"/>
      <c r="FMP30" s="1"/>
      <c r="FMQ30" s="1"/>
      <c r="FMR30" s="1"/>
      <c r="FMS30" s="1"/>
      <c r="FMT30" s="1"/>
      <c r="FMU30" s="1"/>
      <c r="FMV30" s="1"/>
      <c r="FMW30" s="1"/>
      <c r="FMX30" s="1"/>
      <c r="FMY30" s="1"/>
      <c r="FMZ30" s="1"/>
      <c r="FNA30" s="1"/>
      <c r="FNB30" s="1"/>
      <c r="FNC30" s="1"/>
      <c r="FND30" s="1"/>
      <c r="FNE30" s="1"/>
      <c r="FNF30" s="1"/>
      <c r="FNG30" s="1"/>
      <c r="FNH30" s="1"/>
      <c r="FNI30" s="1"/>
      <c r="FNJ30" s="1"/>
      <c r="FNK30" s="1"/>
      <c r="FNL30" s="1"/>
      <c r="FNM30" s="1"/>
      <c r="FNN30" s="1"/>
      <c r="FNO30" s="1"/>
      <c r="FNP30" s="1"/>
      <c r="FNQ30" s="1"/>
      <c r="FNR30" s="1"/>
      <c r="FNS30" s="1"/>
      <c r="FNT30" s="1"/>
      <c r="FNU30" s="1"/>
      <c r="FNV30" s="1"/>
      <c r="FNW30" s="1"/>
      <c r="FNX30" s="1"/>
      <c r="FNY30" s="1"/>
      <c r="FNZ30" s="1"/>
      <c r="FOA30" s="1"/>
      <c r="FOB30" s="1"/>
      <c r="FOC30" s="1"/>
      <c r="FOD30" s="1"/>
      <c r="FOE30" s="1"/>
      <c r="FOF30" s="1"/>
      <c r="FOG30" s="1"/>
      <c r="FOH30" s="1"/>
      <c r="FOI30" s="1"/>
      <c r="FOJ30" s="1"/>
      <c r="FOK30" s="1"/>
      <c r="FOL30" s="1"/>
      <c r="FOM30" s="1"/>
      <c r="FON30" s="1"/>
      <c r="FOO30" s="1"/>
      <c r="FOP30" s="1"/>
      <c r="FOQ30" s="1"/>
      <c r="FOR30" s="1"/>
      <c r="FOS30" s="1"/>
      <c r="FOT30" s="1"/>
      <c r="FOU30" s="1"/>
      <c r="FOV30" s="1"/>
      <c r="FOW30" s="1"/>
      <c r="FOX30" s="1"/>
      <c r="FOY30" s="1"/>
      <c r="FOZ30" s="1"/>
      <c r="FPA30" s="1"/>
      <c r="FPB30" s="1"/>
      <c r="FPC30" s="1"/>
      <c r="FPD30" s="1"/>
      <c r="FPE30" s="1"/>
      <c r="FPF30" s="1"/>
      <c r="FPG30" s="1"/>
      <c r="FPH30" s="1"/>
      <c r="FPI30" s="1"/>
      <c r="FPJ30" s="1"/>
      <c r="FPK30" s="1"/>
      <c r="FPL30" s="1"/>
      <c r="FPM30" s="1"/>
      <c r="FPN30" s="1"/>
      <c r="FPO30" s="1"/>
      <c r="FPP30" s="1"/>
      <c r="FPQ30" s="1"/>
      <c r="FPR30" s="1"/>
      <c r="FPS30" s="1"/>
      <c r="FPT30" s="1"/>
      <c r="FPU30" s="1"/>
      <c r="FPV30" s="1"/>
      <c r="FPW30" s="1"/>
      <c r="FPX30" s="1"/>
      <c r="FPY30" s="1"/>
      <c r="FPZ30" s="1"/>
      <c r="FQA30" s="1"/>
      <c r="FQB30" s="1"/>
      <c r="FQC30" s="1"/>
      <c r="FQD30" s="1"/>
      <c r="FQE30" s="1"/>
      <c r="FQF30" s="1"/>
      <c r="FQG30" s="1"/>
      <c r="FQH30" s="1"/>
      <c r="FQI30" s="1"/>
      <c r="FQJ30" s="1"/>
      <c r="FQK30" s="1"/>
      <c r="FQL30" s="1"/>
      <c r="FQM30" s="1"/>
      <c r="FQN30" s="1"/>
      <c r="FQO30" s="1"/>
      <c r="FQP30" s="1"/>
      <c r="FQQ30" s="1"/>
      <c r="FQR30" s="1"/>
      <c r="FQS30" s="1"/>
      <c r="FQT30" s="1"/>
      <c r="FQU30" s="1"/>
      <c r="FQV30" s="1"/>
      <c r="FQW30" s="1"/>
      <c r="FQX30" s="1"/>
      <c r="FQY30" s="1"/>
      <c r="FQZ30" s="1"/>
      <c r="FRA30" s="1"/>
      <c r="FRB30" s="1"/>
      <c r="FRC30" s="1"/>
      <c r="FRD30" s="1"/>
      <c r="FRE30" s="1"/>
      <c r="FRF30" s="1"/>
      <c r="FRG30" s="1"/>
      <c r="FRH30" s="1"/>
      <c r="FRI30" s="1"/>
      <c r="FRJ30" s="1"/>
      <c r="FRK30" s="1"/>
      <c r="FRL30" s="1"/>
      <c r="FRM30" s="1"/>
      <c r="FRN30" s="1"/>
      <c r="FRO30" s="1"/>
      <c r="FRP30" s="1"/>
      <c r="FRQ30" s="1"/>
      <c r="FRR30" s="1"/>
      <c r="FRS30" s="1"/>
      <c r="FRT30" s="1"/>
      <c r="FRU30" s="1"/>
      <c r="FRV30" s="1"/>
      <c r="FRW30" s="1"/>
      <c r="FRX30" s="1"/>
      <c r="FRY30" s="1"/>
      <c r="FRZ30" s="1"/>
      <c r="FSA30" s="1"/>
      <c r="FSB30" s="1"/>
      <c r="FSC30" s="1"/>
      <c r="FSD30" s="1"/>
      <c r="FSE30" s="1"/>
      <c r="FSF30" s="1"/>
      <c r="FSG30" s="1"/>
      <c r="FSH30" s="1"/>
      <c r="FSI30" s="1"/>
      <c r="FSJ30" s="1"/>
      <c r="FSK30" s="1"/>
      <c r="FSL30" s="1"/>
      <c r="FSM30" s="1"/>
      <c r="FSN30" s="1"/>
      <c r="FSO30" s="1"/>
      <c r="FSP30" s="1"/>
      <c r="FSQ30" s="1"/>
      <c r="FSR30" s="1"/>
      <c r="FSS30" s="1"/>
      <c r="FST30" s="1"/>
      <c r="FSU30" s="1"/>
      <c r="FSV30" s="1"/>
      <c r="FSW30" s="1"/>
      <c r="FSX30" s="1"/>
      <c r="FSY30" s="1"/>
      <c r="FSZ30" s="1"/>
      <c r="FTA30" s="1"/>
      <c r="FTB30" s="1"/>
      <c r="FTC30" s="1"/>
      <c r="FTD30" s="1"/>
      <c r="FTE30" s="1"/>
      <c r="FTF30" s="1"/>
      <c r="FTG30" s="1"/>
      <c r="FTH30" s="1"/>
      <c r="FTI30" s="1"/>
      <c r="FTJ30" s="1"/>
      <c r="FTK30" s="1"/>
      <c r="FTL30" s="1"/>
      <c r="FTM30" s="1"/>
      <c r="FTN30" s="1"/>
      <c r="FTO30" s="1"/>
      <c r="FTP30" s="1"/>
      <c r="FTQ30" s="1"/>
      <c r="FTR30" s="1"/>
      <c r="FTS30" s="1"/>
      <c r="FTT30" s="1"/>
      <c r="FTU30" s="1"/>
      <c r="FTV30" s="1"/>
      <c r="FTW30" s="1"/>
      <c r="FTX30" s="1"/>
      <c r="FTY30" s="1"/>
      <c r="FTZ30" s="1"/>
      <c r="FUA30" s="1"/>
      <c r="FUB30" s="1"/>
      <c r="FUC30" s="1"/>
      <c r="FUD30" s="1"/>
      <c r="FUE30" s="1"/>
      <c r="FUF30" s="1"/>
      <c r="FUG30" s="1"/>
      <c r="FUH30" s="1"/>
      <c r="FUI30" s="1"/>
      <c r="FUJ30" s="1"/>
      <c r="FUK30" s="1"/>
      <c r="FUL30" s="1"/>
      <c r="FUM30" s="1"/>
      <c r="FUN30" s="1"/>
      <c r="FUO30" s="1"/>
      <c r="FUP30" s="1"/>
      <c r="FUQ30" s="1"/>
      <c r="FUR30" s="1"/>
      <c r="FUS30" s="1"/>
      <c r="FUT30" s="1"/>
      <c r="FUU30" s="1"/>
      <c r="FUV30" s="1"/>
      <c r="FUW30" s="1"/>
      <c r="FUX30" s="1"/>
      <c r="FUY30" s="1"/>
      <c r="FUZ30" s="1"/>
      <c r="FVA30" s="1"/>
      <c r="FVB30" s="1"/>
      <c r="FVC30" s="1"/>
      <c r="FVD30" s="1"/>
      <c r="FVE30" s="1"/>
      <c r="FVF30" s="1"/>
      <c r="FVG30" s="1"/>
      <c r="FVH30" s="1"/>
      <c r="FVI30" s="1"/>
      <c r="FVJ30" s="1"/>
      <c r="FVK30" s="1"/>
      <c r="FVL30" s="1"/>
      <c r="FVM30" s="1"/>
      <c r="FVN30" s="1"/>
      <c r="FVO30" s="1"/>
      <c r="FVP30" s="1"/>
      <c r="FVQ30" s="1"/>
      <c r="FVR30" s="1"/>
      <c r="FVS30" s="1"/>
      <c r="FVT30" s="1"/>
      <c r="FVU30" s="1"/>
      <c r="FVV30" s="1"/>
      <c r="FVW30" s="1"/>
      <c r="FVX30" s="1"/>
      <c r="FVY30" s="1"/>
      <c r="FVZ30" s="1"/>
      <c r="FWA30" s="1"/>
      <c r="FWB30" s="1"/>
      <c r="FWC30" s="1"/>
      <c r="FWD30" s="1"/>
      <c r="FWE30" s="1"/>
      <c r="FWF30" s="1"/>
      <c r="FWG30" s="1"/>
      <c r="FWH30" s="1"/>
      <c r="FWI30" s="1"/>
      <c r="FWJ30" s="1"/>
      <c r="FWK30" s="1"/>
      <c r="FWL30" s="1"/>
      <c r="FWM30" s="1"/>
      <c r="FWN30" s="1"/>
      <c r="FWO30" s="1"/>
      <c r="FWP30" s="1"/>
      <c r="FWQ30" s="1"/>
      <c r="FWR30" s="1"/>
      <c r="FWS30" s="1"/>
      <c r="FWT30" s="1"/>
      <c r="FWU30" s="1"/>
      <c r="FWV30" s="1"/>
      <c r="FWW30" s="1"/>
      <c r="FWX30" s="1"/>
      <c r="FWY30" s="1"/>
      <c r="FWZ30" s="1"/>
      <c r="FXA30" s="1"/>
      <c r="FXB30" s="1"/>
      <c r="FXC30" s="1"/>
      <c r="FXD30" s="1"/>
      <c r="FXE30" s="1"/>
      <c r="FXF30" s="1"/>
      <c r="FXG30" s="1"/>
      <c r="FXH30" s="1"/>
      <c r="FXI30" s="1"/>
      <c r="FXJ30" s="1"/>
      <c r="FXK30" s="1"/>
      <c r="FXL30" s="1"/>
      <c r="FXM30" s="1"/>
      <c r="FXN30" s="1"/>
      <c r="FXO30" s="1"/>
      <c r="FXP30" s="1"/>
      <c r="FXQ30" s="1"/>
      <c r="FXR30" s="1"/>
      <c r="FXS30" s="1"/>
      <c r="FXT30" s="1"/>
      <c r="FXU30" s="1"/>
      <c r="FXV30" s="1"/>
      <c r="FXW30" s="1"/>
      <c r="FXX30" s="1"/>
      <c r="FXY30" s="1"/>
      <c r="FXZ30" s="1"/>
      <c r="FYA30" s="1"/>
      <c r="FYB30" s="1"/>
      <c r="FYC30" s="1"/>
      <c r="FYD30" s="1"/>
      <c r="FYE30" s="1"/>
      <c r="FYF30" s="1"/>
      <c r="FYG30" s="1"/>
      <c r="FYH30" s="1"/>
      <c r="FYI30" s="1"/>
      <c r="FYJ30" s="1"/>
      <c r="FYK30" s="1"/>
      <c r="FYL30" s="1"/>
      <c r="FYM30" s="1"/>
      <c r="FYN30" s="1"/>
      <c r="FYO30" s="1"/>
      <c r="FYP30" s="1"/>
      <c r="FYQ30" s="1"/>
      <c r="FYR30" s="1"/>
      <c r="FYS30" s="1"/>
      <c r="FYT30" s="1"/>
      <c r="FYU30" s="1"/>
      <c r="FYV30" s="1"/>
      <c r="FYW30" s="1"/>
      <c r="FYX30" s="1"/>
      <c r="FYY30" s="1"/>
      <c r="FYZ30" s="1"/>
      <c r="FZA30" s="1"/>
      <c r="FZB30" s="1"/>
      <c r="FZC30" s="1"/>
      <c r="FZD30" s="1"/>
      <c r="FZE30" s="1"/>
      <c r="FZF30" s="1"/>
      <c r="FZG30" s="1"/>
      <c r="FZH30" s="1"/>
      <c r="FZI30" s="1"/>
      <c r="FZJ30" s="1"/>
      <c r="FZK30" s="1"/>
      <c r="FZL30" s="1"/>
      <c r="FZM30" s="1"/>
      <c r="FZN30" s="1"/>
      <c r="FZO30" s="1"/>
      <c r="FZP30" s="1"/>
      <c r="FZQ30" s="1"/>
      <c r="FZR30" s="1"/>
      <c r="FZS30" s="1"/>
      <c r="FZT30" s="1"/>
      <c r="FZU30" s="1"/>
      <c r="FZV30" s="1"/>
      <c r="FZW30" s="1"/>
      <c r="FZX30" s="1"/>
      <c r="FZY30" s="1"/>
      <c r="FZZ30" s="1"/>
      <c r="GAA30" s="1"/>
      <c r="GAB30" s="1"/>
      <c r="GAC30" s="1"/>
      <c r="GAD30" s="1"/>
      <c r="GAE30" s="1"/>
      <c r="GAF30" s="1"/>
      <c r="GAG30" s="1"/>
      <c r="GAH30" s="1"/>
      <c r="GAI30" s="1"/>
      <c r="GAJ30" s="1"/>
      <c r="GAK30" s="1"/>
      <c r="GAL30" s="1"/>
      <c r="GAM30" s="1"/>
      <c r="GAN30" s="1"/>
      <c r="GAO30" s="1"/>
      <c r="GAP30" s="1"/>
      <c r="GAQ30" s="1"/>
      <c r="GAR30" s="1"/>
      <c r="GAS30" s="1"/>
      <c r="GAT30" s="1"/>
      <c r="GAU30" s="1"/>
      <c r="GAV30" s="1"/>
      <c r="GAW30" s="1"/>
      <c r="GAX30" s="1"/>
      <c r="GAY30" s="1"/>
      <c r="GAZ30" s="1"/>
      <c r="GBA30" s="1"/>
      <c r="GBB30" s="1"/>
      <c r="GBC30" s="1"/>
      <c r="GBD30" s="1"/>
      <c r="GBE30" s="1"/>
      <c r="GBF30" s="1"/>
      <c r="GBG30" s="1"/>
      <c r="GBH30" s="1"/>
      <c r="GBI30" s="1"/>
      <c r="GBJ30" s="1"/>
      <c r="GBK30" s="1"/>
      <c r="GBL30" s="1"/>
      <c r="GBM30" s="1"/>
      <c r="GBN30" s="1"/>
      <c r="GBO30" s="1"/>
      <c r="GBP30" s="1"/>
      <c r="GBQ30" s="1"/>
      <c r="GBR30" s="1"/>
      <c r="GBS30" s="1"/>
      <c r="GBT30" s="1"/>
      <c r="GBU30" s="1"/>
      <c r="GBV30" s="1"/>
      <c r="GBW30" s="1"/>
      <c r="GBX30" s="1"/>
      <c r="GBY30" s="1"/>
      <c r="GBZ30" s="1"/>
      <c r="GCA30" s="1"/>
      <c r="GCB30" s="1"/>
      <c r="GCC30" s="1"/>
      <c r="GCD30" s="1"/>
      <c r="GCE30" s="1"/>
      <c r="GCF30" s="1"/>
      <c r="GCG30" s="1"/>
      <c r="GCH30" s="1"/>
      <c r="GCI30" s="1"/>
      <c r="GCJ30" s="1"/>
      <c r="GCK30" s="1"/>
      <c r="GCL30" s="1"/>
      <c r="GCM30" s="1"/>
      <c r="GCN30" s="1"/>
      <c r="GCO30" s="1"/>
      <c r="GCP30" s="1"/>
      <c r="GCQ30" s="1"/>
      <c r="GCR30" s="1"/>
      <c r="GCS30" s="1"/>
      <c r="GCT30" s="1"/>
      <c r="GCU30" s="1"/>
      <c r="GCV30" s="1"/>
      <c r="GCW30" s="1"/>
      <c r="GCX30" s="1"/>
      <c r="GCY30" s="1"/>
      <c r="GCZ30" s="1"/>
      <c r="GDA30" s="1"/>
      <c r="GDB30" s="1"/>
      <c r="GDC30" s="1"/>
      <c r="GDD30" s="1"/>
      <c r="GDE30" s="1"/>
      <c r="GDF30" s="1"/>
      <c r="GDG30" s="1"/>
      <c r="GDH30" s="1"/>
      <c r="GDI30" s="1"/>
      <c r="GDJ30" s="1"/>
      <c r="GDK30" s="1"/>
      <c r="GDL30" s="1"/>
      <c r="GDM30" s="1"/>
      <c r="GDN30" s="1"/>
      <c r="GDO30" s="1"/>
      <c r="GDP30" s="1"/>
      <c r="GDQ30" s="1"/>
      <c r="GDR30" s="1"/>
      <c r="GDS30" s="1"/>
      <c r="GDT30" s="1"/>
      <c r="GDU30" s="1"/>
      <c r="GDV30" s="1"/>
      <c r="GDW30" s="1"/>
      <c r="GDX30" s="1"/>
      <c r="GDY30" s="1"/>
      <c r="GDZ30" s="1"/>
      <c r="GEA30" s="1"/>
      <c r="GEB30" s="1"/>
      <c r="GEC30" s="1"/>
      <c r="GED30" s="1"/>
      <c r="GEE30" s="1"/>
      <c r="GEF30" s="1"/>
      <c r="GEG30" s="1"/>
      <c r="GEH30" s="1"/>
      <c r="GEI30" s="1"/>
      <c r="GEJ30" s="1"/>
      <c r="GEK30" s="1"/>
      <c r="GEL30" s="1"/>
      <c r="GEM30" s="1"/>
      <c r="GEN30" s="1"/>
      <c r="GEO30" s="1"/>
      <c r="GEP30" s="1"/>
      <c r="GEQ30" s="1"/>
      <c r="GER30" s="1"/>
      <c r="GES30" s="1"/>
      <c r="GET30" s="1"/>
      <c r="GEU30" s="1"/>
      <c r="GEV30" s="1"/>
      <c r="GEW30" s="1"/>
      <c r="GEX30" s="1"/>
      <c r="GEY30" s="1"/>
      <c r="GEZ30" s="1"/>
      <c r="GFA30" s="1"/>
      <c r="GFB30" s="1"/>
      <c r="GFC30" s="1"/>
      <c r="GFD30" s="1"/>
      <c r="GFE30" s="1"/>
      <c r="GFF30" s="1"/>
      <c r="GFG30" s="1"/>
      <c r="GFH30" s="1"/>
      <c r="GFI30" s="1"/>
      <c r="GFJ30" s="1"/>
      <c r="GFK30" s="1"/>
      <c r="GFL30" s="1"/>
      <c r="GFM30" s="1"/>
      <c r="GFN30" s="1"/>
      <c r="GFO30" s="1"/>
      <c r="GFP30" s="1"/>
      <c r="GFQ30" s="1"/>
      <c r="GFR30" s="1"/>
      <c r="GFS30" s="1"/>
      <c r="GFT30" s="1"/>
      <c r="GFU30" s="1"/>
      <c r="GFV30" s="1"/>
      <c r="GFW30" s="1"/>
      <c r="GFX30" s="1"/>
      <c r="GFY30" s="1"/>
      <c r="GFZ30" s="1"/>
      <c r="GGA30" s="1"/>
      <c r="GGB30" s="1"/>
      <c r="GGC30" s="1"/>
      <c r="GGD30" s="1"/>
      <c r="GGE30" s="1"/>
      <c r="GGF30" s="1"/>
      <c r="GGG30" s="1"/>
      <c r="GGH30" s="1"/>
      <c r="GGI30" s="1"/>
      <c r="GGJ30" s="1"/>
      <c r="GGK30" s="1"/>
      <c r="GGL30" s="1"/>
      <c r="GGM30" s="1"/>
      <c r="GGN30" s="1"/>
      <c r="GGO30" s="1"/>
      <c r="GGP30" s="1"/>
      <c r="GGQ30" s="1"/>
      <c r="GGR30" s="1"/>
      <c r="GGS30" s="1"/>
      <c r="GGT30" s="1"/>
      <c r="GGU30" s="1"/>
      <c r="GGV30" s="1"/>
      <c r="GGW30" s="1"/>
      <c r="GGX30" s="1"/>
      <c r="GGY30" s="1"/>
      <c r="GGZ30" s="1"/>
      <c r="GHA30" s="1"/>
      <c r="GHB30" s="1"/>
      <c r="GHC30" s="1"/>
      <c r="GHD30" s="1"/>
      <c r="GHE30" s="1"/>
      <c r="GHF30" s="1"/>
      <c r="GHG30" s="1"/>
      <c r="GHH30" s="1"/>
      <c r="GHI30" s="1"/>
      <c r="GHJ30" s="1"/>
      <c r="GHK30" s="1"/>
      <c r="GHL30" s="1"/>
      <c r="GHM30" s="1"/>
      <c r="GHN30" s="1"/>
      <c r="GHO30" s="1"/>
      <c r="GHP30" s="1"/>
      <c r="GHQ30" s="1"/>
      <c r="GHR30" s="1"/>
      <c r="GHS30" s="1"/>
      <c r="GHT30" s="1"/>
      <c r="GHU30" s="1"/>
      <c r="GHV30" s="1"/>
      <c r="GHW30" s="1"/>
      <c r="GHX30" s="1"/>
      <c r="GHY30" s="1"/>
      <c r="GHZ30" s="1"/>
      <c r="GIA30" s="1"/>
      <c r="GIB30" s="1"/>
      <c r="GIC30" s="1"/>
      <c r="GID30" s="1"/>
      <c r="GIE30" s="1"/>
      <c r="GIF30" s="1"/>
      <c r="GIG30" s="1"/>
      <c r="GIH30" s="1"/>
      <c r="GII30" s="1"/>
      <c r="GIJ30" s="1"/>
      <c r="GIK30" s="1"/>
      <c r="GIL30" s="1"/>
      <c r="GIM30" s="1"/>
      <c r="GIN30" s="1"/>
      <c r="GIO30" s="1"/>
      <c r="GIP30" s="1"/>
      <c r="GIQ30" s="1"/>
      <c r="GIR30" s="1"/>
      <c r="GIS30" s="1"/>
      <c r="GIT30" s="1"/>
      <c r="GIU30" s="1"/>
      <c r="GIV30" s="1"/>
      <c r="GIW30" s="1"/>
      <c r="GIX30" s="1"/>
      <c r="GIY30" s="1"/>
      <c r="GIZ30" s="1"/>
      <c r="GJA30" s="1"/>
      <c r="GJB30" s="1"/>
      <c r="GJC30" s="1"/>
      <c r="GJD30" s="1"/>
      <c r="GJE30" s="1"/>
      <c r="GJF30" s="1"/>
      <c r="GJG30" s="1"/>
      <c r="GJH30" s="1"/>
      <c r="GJI30" s="1"/>
      <c r="GJJ30" s="1"/>
      <c r="GJK30" s="1"/>
      <c r="GJL30" s="1"/>
      <c r="GJM30" s="1"/>
      <c r="GJN30" s="1"/>
      <c r="GJO30" s="1"/>
      <c r="GJP30" s="1"/>
      <c r="GJQ30" s="1"/>
      <c r="GJR30" s="1"/>
      <c r="GJS30" s="1"/>
      <c r="GJT30" s="1"/>
      <c r="GJU30" s="1"/>
      <c r="GJV30" s="1"/>
      <c r="GJW30" s="1"/>
      <c r="GJX30" s="1"/>
      <c r="GJY30" s="1"/>
      <c r="GJZ30" s="1"/>
      <c r="GKA30" s="1"/>
      <c r="GKB30" s="1"/>
      <c r="GKC30" s="1"/>
      <c r="GKD30" s="1"/>
      <c r="GKE30" s="1"/>
      <c r="GKF30" s="1"/>
      <c r="GKG30" s="1"/>
      <c r="GKH30" s="1"/>
      <c r="GKI30" s="1"/>
      <c r="GKJ30" s="1"/>
      <c r="GKK30" s="1"/>
      <c r="GKL30" s="1"/>
      <c r="GKM30" s="1"/>
      <c r="GKN30" s="1"/>
      <c r="GKO30" s="1"/>
      <c r="GKP30" s="1"/>
      <c r="GKQ30" s="1"/>
      <c r="GKR30" s="1"/>
      <c r="GKS30" s="1"/>
      <c r="GKT30" s="1"/>
      <c r="GKU30" s="1"/>
      <c r="GKV30" s="1"/>
      <c r="GKW30" s="1"/>
      <c r="GKX30" s="1"/>
      <c r="GKY30" s="1"/>
      <c r="GKZ30" s="1"/>
      <c r="GLA30" s="1"/>
      <c r="GLB30" s="1"/>
      <c r="GLC30" s="1"/>
      <c r="GLD30" s="1"/>
      <c r="GLE30" s="1"/>
      <c r="GLF30" s="1"/>
      <c r="GLG30" s="1"/>
      <c r="GLH30" s="1"/>
      <c r="GLI30" s="1"/>
      <c r="GLJ30" s="1"/>
      <c r="GLK30" s="1"/>
      <c r="GLL30" s="1"/>
      <c r="GLM30" s="1"/>
      <c r="GLN30" s="1"/>
      <c r="GLO30" s="1"/>
      <c r="GLP30" s="1"/>
      <c r="GLQ30" s="1"/>
      <c r="GLR30" s="1"/>
      <c r="GLS30" s="1"/>
      <c r="GLT30" s="1"/>
      <c r="GLU30" s="1"/>
      <c r="GLV30" s="1"/>
      <c r="GLW30" s="1"/>
      <c r="GLX30" s="1"/>
      <c r="GLY30" s="1"/>
      <c r="GLZ30" s="1"/>
      <c r="GMA30" s="1"/>
      <c r="GMB30" s="1"/>
      <c r="GMC30" s="1"/>
      <c r="GMD30" s="1"/>
      <c r="GME30" s="1"/>
      <c r="GMF30" s="1"/>
      <c r="GMG30" s="1"/>
      <c r="GMH30" s="1"/>
      <c r="GMI30" s="1"/>
      <c r="GMJ30" s="1"/>
      <c r="GMK30" s="1"/>
      <c r="GML30" s="1"/>
      <c r="GMM30" s="1"/>
      <c r="GMN30" s="1"/>
      <c r="GMO30" s="1"/>
      <c r="GMP30" s="1"/>
      <c r="GMQ30" s="1"/>
      <c r="GMR30" s="1"/>
      <c r="GMS30" s="1"/>
      <c r="GMT30" s="1"/>
      <c r="GMU30" s="1"/>
      <c r="GMV30" s="1"/>
      <c r="GMW30" s="1"/>
      <c r="GMX30" s="1"/>
      <c r="GMY30" s="1"/>
      <c r="GMZ30" s="1"/>
      <c r="GNA30" s="1"/>
      <c r="GNB30" s="1"/>
      <c r="GNC30" s="1"/>
      <c r="GND30" s="1"/>
      <c r="GNE30" s="1"/>
      <c r="GNF30" s="1"/>
      <c r="GNG30" s="1"/>
      <c r="GNH30" s="1"/>
      <c r="GNI30" s="1"/>
      <c r="GNJ30" s="1"/>
      <c r="GNK30" s="1"/>
      <c r="GNL30" s="1"/>
      <c r="GNM30" s="1"/>
      <c r="GNN30" s="1"/>
      <c r="GNO30" s="1"/>
      <c r="GNP30" s="1"/>
      <c r="GNQ30" s="1"/>
      <c r="GNR30" s="1"/>
      <c r="GNS30" s="1"/>
      <c r="GNT30" s="1"/>
      <c r="GNU30" s="1"/>
      <c r="GNV30" s="1"/>
      <c r="GNW30" s="1"/>
      <c r="GNX30" s="1"/>
      <c r="GNY30" s="1"/>
      <c r="GNZ30" s="1"/>
      <c r="GOA30" s="1"/>
      <c r="GOB30" s="1"/>
      <c r="GOC30" s="1"/>
      <c r="GOD30" s="1"/>
      <c r="GOE30" s="1"/>
      <c r="GOF30" s="1"/>
      <c r="GOG30" s="1"/>
      <c r="GOH30" s="1"/>
      <c r="GOI30" s="1"/>
      <c r="GOJ30" s="1"/>
      <c r="GOK30" s="1"/>
      <c r="GOL30" s="1"/>
      <c r="GOM30" s="1"/>
      <c r="GON30" s="1"/>
      <c r="GOO30" s="1"/>
      <c r="GOP30" s="1"/>
      <c r="GOQ30" s="1"/>
      <c r="GOR30" s="1"/>
      <c r="GOS30" s="1"/>
      <c r="GOT30" s="1"/>
      <c r="GOU30" s="1"/>
      <c r="GOV30" s="1"/>
      <c r="GOW30" s="1"/>
      <c r="GOX30" s="1"/>
      <c r="GOY30" s="1"/>
      <c r="GOZ30" s="1"/>
      <c r="GPA30" s="1"/>
      <c r="GPB30" s="1"/>
      <c r="GPC30" s="1"/>
      <c r="GPD30" s="1"/>
      <c r="GPE30" s="1"/>
      <c r="GPF30" s="1"/>
      <c r="GPG30" s="1"/>
      <c r="GPH30" s="1"/>
      <c r="GPI30" s="1"/>
      <c r="GPJ30" s="1"/>
      <c r="GPK30" s="1"/>
      <c r="GPL30" s="1"/>
      <c r="GPM30" s="1"/>
      <c r="GPN30" s="1"/>
      <c r="GPO30" s="1"/>
      <c r="GPP30" s="1"/>
      <c r="GPQ30" s="1"/>
      <c r="GPR30" s="1"/>
      <c r="GPS30" s="1"/>
      <c r="GPT30" s="1"/>
      <c r="GPU30" s="1"/>
      <c r="GPV30" s="1"/>
      <c r="GPW30" s="1"/>
      <c r="GPX30" s="1"/>
      <c r="GPY30" s="1"/>
      <c r="GPZ30" s="1"/>
      <c r="GQA30" s="1"/>
      <c r="GQB30" s="1"/>
      <c r="GQC30" s="1"/>
      <c r="GQD30" s="1"/>
      <c r="GQE30" s="1"/>
      <c r="GQF30" s="1"/>
      <c r="GQG30" s="1"/>
      <c r="GQH30" s="1"/>
      <c r="GQI30" s="1"/>
      <c r="GQJ30" s="1"/>
      <c r="GQK30" s="1"/>
      <c r="GQL30" s="1"/>
      <c r="GQM30" s="1"/>
      <c r="GQN30" s="1"/>
      <c r="GQO30" s="1"/>
      <c r="GQP30" s="1"/>
      <c r="GQQ30" s="1"/>
      <c r="GQR30" s="1"/>
      <c r="GQS30" s="1"/>
      <c r="GQT30" s="1"/>
      <c r="GQU30" s="1"/>
      <c r="GQV30" s="1"/>
      <c r="GQW30" s="1"/>
      <c r="GQX30" s="1"/>
      <c r="GQY30" s="1"/>
      <c r="GQZ30" s="1"/>
      <c r="GRA30" s="1"/>
      <c r="GRB30" s="1"/>
      <c r="GRC30" s="1"/>
      <c r="GRD30" s="1"/>
      <c r="GRE30" s="1"/>
      <c r="GRF30" s="1"/>
      <c r="GRG30" s="1"/>
      <c r="GRH30" s="1"/>
      <c r="GRI30" s="1"/>
      <c r="GRJ30" s="1"/>
      <c r="GRK30" s="1"/>
      <c r="GRL30" s="1"/>
      <c r="GRM30" s="1"/>
      <c r="GRN30" s="1"/>
      <c r="GRO30" s="1"/>
      <c r="GRP30" s="1"/>
      <c r="GRQ30" s="1"/>
      <c r="GRR30" s="1"/>
      <c r="GRS30" s="1"/>
      <c r="GRT30" s="1"/>
      <c r="GRU30" s="1"/>
      <c r="GRV30" s="1"/>
      <c r="GRW30" s="1"/>
      <c r="GRX30" s="1"/>
      <c r="GRY30" s="1"/>
      <c r="GRZ30" s="1"/>
      <c r="GSA30" s="1"/>
      <c r="GSB30" s="1"/>
      <c r="GSC30" s="1"/>
      <c r="GSD30" s="1"/>
      <c r="GSE30" s="1"/>
      <c r="GSF30" s="1"/>
      <c r="GSG30" s="1"/>
      <c r="GSH30" s="1"/>
      <c r="GSI30" s="1"/>
      <c r="GSJ30" s="1"/>
      <c r="GSK30" s="1"/>
      <c r="GSL30" s="1"/>
      <c r="GSM30" s="1"/>
      <c r="GSN30" s="1"/>
      <c r="GSO30" s="1"/>
      <c r="GSP30" s="1"/>
      <c r="GSQ30" s="1"/>
      <c r="GSR30" s="1"/>
      <c r="GSS30" s="1"/>
      <c r="GST30" s="1"/>
      <c r="GSU30" s="1"/>
      <c r="GSV30" s="1"/>
      <c r="GSW30" s="1"/>
      <c r="GSX30" s="1"/>
      <c r="GSY30" s="1"/>
      <c r="GSZ30" s="1"/>
      <c r="GTA30" s="1"/>
      <c r="GTB30" s="1"/>
      <c r="GTC30" s="1"/>
      <c r="GTD30" s="1"/>
      <c r="GTE30" s="1"/>
      <c r="GTF30" s="1"/>
      <c r="GTG30" s="1"/>
      <c r="GTH30" s="1"/>
      <c r="GTI30" s="1"/>
      <c r="GTJ30" s="1"/>
      <c r="GTK30" s="1"/>
      <c r="GTL30" s="1"/>
      <c r="GTM30" s="1"/>
      <c r="GTN30" s="1"/>
      <c r="GTO30" s="1"/>
      <c r="GTP30" s="1"/>
      <c r="GTQ30" s="1"/>
      <c r="GTR30" s="1"/>
      <c r="GTS30" s="1"/>
      <c r="GTT30" s="1"/>
      <c r="GTU30" s="1"/>
      <c r="GTV30" s="1"/>
      <c r="GTW30" s="1"/>
      <c r="GTX30" s="1"/>
      <c r="GTY30" s="1"/>
      <c r="GTZ30" s="1"/>
      <c r="GUA30" s="1"/>
      <c r="GUB30" s="1"/>
      <c r="GUC30" s="1"/>
      <c r="GUD30" s="1"/>
      <c r="GUE30" s="1"/>
      <c r="GUF30" s="1"/>
      <c r="GUG30" s="1"/>
      <c r="GUH30" s="1"/>
      <c r="GUI30" s="1"/>
      <c r="GUJ30" s="1"/>
      <c r="GUK30" s="1"/>
      <c r="GUL30" s="1"/>
      <c r="GUM30" s="1"/>
      <c r="GUN30" s="1"/>
      <c r="GUO30" s="1"/>
      <c r="GUP30" s="1"/>
      <c r="GUQ30" s="1"/>
      <c r="GUR30" s="1"/>
      <c r="GUS30" s="1"/>
      <c r="GUT30" s="1"/>
      <c r="GUU30" s="1"/>
      <c r="GUV30" s="1"/>
      <c r="GUW30" s="1"/>
      <c r="GUX30" s="1"/>
      <c r="GUY30" s="1"/>
      <c r="GUZ30" s="1"/>
      <c r="GVA30" s="1"/>
      <c r="GVB30" s="1"/>
      <c r="GVC30" s="1"/>
      <c r="GVD30" s="1"/>
      <c r="GVE30" s="1"/>
      <c r="GVF30" s="1"/>
      <c r="GVG30" s="1"/>
      <c r="GVH30" s="1"/>
      <c r="GVI30" s="1"/>
      <c r="GVJ30" s="1"/>
      <c r="GVK30" s="1"/>
      <c r="GVL30" s="1"/>
      <c r="GVM30" s="1"/>
      <c r="GVN30" s="1"/>
      <c r="GVO30" s="1"/>
      <c r="GVP30" s="1"/>
      <c r="GVQ30" s="1"/>
      <c r="GVR30" s="1"/>
      <c r="GVS30" s="1"/>
      <c r="GVT30" s="1"/>
      <c r="GVU30" s="1"/>
      <c r="GVV30" s="1"/>
      <c r="GVW30" s="1"/>
      <c r="GVX30" s="1"/>
      <c r="GVY30" s="1"/>
      <c r="GVZ30" s="1"/>
      <c r="GWA30" s="1"/>
      <c r="GWB30" s="1"/>
      <c r="GWC30" s="1"/>
      <c r="GWD30" s="1"/>
      <c r="GWE30" s="1"/>
      <c r="GWF30" s="1"/>
      <c r="GWG30" s="1"/>
      <c r="GWH30" s="1"/>
      <c r="GWI30" s="1"/>
      <c r="GWJ30" s="1"/>
      <c r="GWK30" s="1"/>
      <c r="GWL30" s="1"/>
      <c r="GWM30" s="1"/>
      <c r="GWN30" s="1"/>
      <c r="GWO30" s="1"/>
      <c r="GWP30" s="1"/>
      <c r="GWQ30" s="1"/>
      <c r="GWR30" s="1"/>
      <c r="GWS30" s="1"/>
      <c r="GWT30" s="1"/>
      <c r="GWU30" s="1"/>
      <c r="GWV30" s="1"/>
      <c r="GWW30" s="1"/>
      <c r="GWX30" s="1"/>
      <c r="GWY30" s="1"/>
      <c r="GWZ30" s="1"/>
      <c r="GXA30" s="1"/>
      <c r="GXB30" s="1"/>
      <c r="GXC30" s="1"/>
      <c r="GXD30" s="1"/>
      <c r="GXE30" s="1"/>
      <c r="GXF30" s="1"/>
      <c r="GXG30" s="1"/>
      <c r="GXH30" s="1"/>
      <c r="GXI30" s="1"/>
      <c r="GXJ30" s="1"/>
      <c r="GXK30" s="1"/>
      <c r="GXL30" s="1"/>
      <c r="GXM30" s="1"/>
      <c r="GXN30" s="1"/>
      <c r="GXO30" s="1"/>
      <c r="GXP30" s="1"/>
      <c r="GXQ30" s="1"/>
      <c r="GXR30" s="1"/>
      <c r="GXS30" s="1"/>
      <c r="GXT30" s="1"/>
      <c r="GXU30" s="1"/>
      <c r="GXV30" s="1"/>
      <c r="GXW30" s="1"/>
      <c r="GXX30" s="1"/>
      <c r="GXY30" s="1"/>
      <c r="GXZ30" s="1"/>
      <c r="GYA30" s="1"/>
      <c r="GYB30" s="1"/>
      <c r="GYC30" s="1"/>
      <c r="GYD30" s="1"/>
      <c r="GYE30" s="1"/>
      <c r="GYF30" s="1"/>
      <c r="GYG30" s="1"/>
      <c r="GYH30" s="1"/>
      <c r="GYI30" s="1"/>
      <c r="GYJ30" s="1"/>
      <c r="GYK30" s="1"/>
      <c r="GYL30" s="1"/>
      <c r="GYM30" s="1"/>
      <c r="GYN30" s="1"/>
      <c r="GYO30" s="1"/>
      <c r="GYP30" s="1"/>
      <c r="GYQ30" s="1"/>
      <c r="GYR30" s="1"/>
      <c r="GYS30" s="1"/>
      <c r="GYT30" s="1"/>
      <c r="GYU30" s="1"/>
      <c r="GYV30" s="1"/>
      <c r="GYW30" s="1"/>
      <c r="GYX30" s="1"/>
      <c r="GYY30" s="1"/>
      <c r="GYZ30" s="1"/>
      <c r="GZA30" s="1"/>
      <c r="GZB30" s="1"/>
      <c r="GZC30" s="1"/>
      <c r="GZD30" s="1"/>
      <c r="GZE30" s="1"/>
      <c r="GZF30" s="1"/>
      <c r="GZG30" s="1"/>
      <c r="GZH30" s="1"/>
      <c r="GZI30" s="1"/>
      <c r="GZJ30" s="1"/>
      <c r="GZK30" s="1"/>
      <c r="GZL30" s="1"/>
      <c r="GZM30" s="1"/>
      <c r="GZN30" s="1"/>
      <c r="GZO30" s="1"/>
      <c r="GZP30" s="1"/>
      <c r="GZQ30" s="1"/>
      <c r="GZR30" s="1"/>
      <c r="GZS30" s="1"/>
      <c r="GZT30" s="1"/>
      <c r="GZU30" s="1"/>
      <c r="GZV30" s="1"/>
      <c r="GZW30" s="1"/>
      <c r="GZX30" s="1"/>
      <c r="GZY30" s="1"/>
      <c r="GZZ30" s="1"/>
      <c r="HAA30" s="1"/>
      <c r="HAB30" s="1"/>
      <c r="HAC30" s="1"/>
      <c r="HAD30" s="1"/>
      <c r="HAE30" s="1"/>
      <c r="HAF30" s="1"/>
      <c r="HAG30" s="1"/>
      <c r="HAH30" s="1"/>
      <c r="HAI30" s="1"/>
      <c r="HAJ30" s="1"/>
      <c r="HAK30" s="1"/>
      <c r="HAL30" s="1"/>
      <c r="HAM30" s="1"/>
      <c r="HAN30" s="1"/>
      <c r="HAO30" s="1"/>
      <c r="HAP30" s="1"/>
      <c r="HAQ30" s="1"/>
      <c r="HAR30" s="1"/>
      <c r="HAS30" s="1"/>
      <c r="HAT30" s="1"/>
      <c r="HAU30" s="1"/>
      <c r="HAV30" s="1"/>
      <c r="HAW30" s="1"/>
      <c r="HAX30" s="1"/>
      <c r="HAY30" s="1"/>
      <c r="HAZ30" s="1"/>
      <c r="HBA30" s="1"/>
      <c r="HBB30" s="1"/>
      <c r="HBC30" s="1"/>
      <c r="HBD30" s="1"/>
      <c r="HBE30" s="1"/>
      <c r="HBF30" s="1"/>
      <c r="HBG30" s="1"/>
      <c r="HBH30" s="1"/>
      <c r="HBI30" s="1"/>
      <c r="HBJ30" s="1"/>
      <c r="HBK30" s="1"/>
      <c r="HBL30" s="1"/>
      <c r="HBM30" s="1"/>
      <c r="HBN30" s="1"/>
      <c r="HBO30" s="1"/>
      <c r="HBP30" s="1"/>
      <c r="HBQ30" s="1"/>
      <c r="HBR30" s="1"/>
      <c r="HBS30" s="1"/>
      <c r="HBT30" s="1"/>
      <c r="HBU30" s="1"/>
      <c r="HBV30" s="1"/>
      <c r="HBW30" s="1"/>
      <c r="HBX30" s="1"/>
      <c r="HBY30" s="1"/>
      <c r="HBZ30" s="1"/>
      <c r="HCA30" s="1"/>
      <c r="HCB30" s="1"/>
      <c r="HCC30" s="1"/>
      <c r="HCD30" s="1"/>
      <c r="HCE30" s="1"/>
      <c r="HCF30" s="1"/>
      <c r="HCG30" s="1"/>
      <c r="HCH30" s="1"/>
      <c r="HCI30" s="1"/>
      <c r="HCJ30" s="1"/>
      <c r="HCK30" s="1"/>
      <c r="HCL30" s="1"/>
      <c r="HCM30" s="1"/>
      <c r="HCN30" s="1"/>
      <c r="HCO30" s="1"/>
      <c r="HCP30" s="1"/>
      <c r="HCQ30" s="1"/>
      <c r="HCR30" s="1"/>
      <c r="HCS30" s="1"/>
      <c r="HCT30" s="1"/>
      <c r="HCU30" s="1"/>
      <c r="HCV30" s="1"/>
      <c r="HCW30" s="1"/>
      <c r="HCX30" s="1"/>
      <c r="HCY30" s="1"/>
      <c r="HCZ30" s="1"/>
      <c r="HDA30" s="1"/>
      <c r="HDB30" s="1"/>
      <c r="HDC30" s="1"/>
      <c r="HDD30" s="1"/>
      <c r="HDE30" s="1"/>
      <c r="HDF30" s="1"/>
      <c r="HDG30" s="1"/>
      <c r="HDH30" s="1"/>
      <c r="HDI30" s="1"/>
      <c r="HDJ30" s="1"/>
      <c r="HDK30" s="1"/>
      <c r="HDL30" s="1"/>
      <c r="HDM30" s="1"/>
      <c r="HDN30" s="1"/>
      <c r="HDO30" s="1"/>
      <c r="HDP30" s="1"/>
      <c r="HDQ30" s="1"/>
      <c r="HDR30" s="1"/>
      <c r="HDS30" s="1"/>
      <c r="HDT30" s="1"/>
      <c r="HDU30" s="1"/>
      <c r="HDV30" s="1"/>
      <c r="HDW30" s="1"/>
      <c r="HDX30" s="1"/>
      <c r="HDY30" s="1"/>
      <c r="HDZ30" s="1"/>
      <c r="HEA30" s="1"/>
      <c r="HEB30" s="1"/>
      <c r="HEC30" s="1"/>
      <c r="HED30" s="1"/>
      <c r="HEE30" s="1"/>
      <c r="HEF30" s="1"/>
      <c r="HEG30" s="1"/>
      <c r="HEH30" s="1"/>
      <c r="HEI30" s="1"/>
      <c r="HEJ30" s="1"/>
      <c r="HEK30" s="1"/>
      <c r="HEL30" s="1"/>
      <c r="HEM30" s="1"/>
      <c r="HEN30" s="1"/>
      <c r="HEO30" s="1"/>
      <c r="HEP30" s="1"/>
      <c r="HEQ30" s="1"/>
      <c r="HER30" s="1"/>
      <c r="HES30" s="1"/>
      <c r="HET30" s="1"/>
      <c r="HEU30" s="1"/>
      <c r="HEV30" s="1"/>
      <c r="HEW30" s="1"/>
      <c r="HEX30" s="1"/>
      <c r="HEY30" s="1"/>
      <c r="HEZ30" s="1"/>
      <c r="HFA30" s="1"/>
      <c r="HFB30" s="1"/>
      <c r="HFC30" s="1"/>
      <c r="HFD30" s="1"/>
      <c r="HFE30" s="1"/>
      <c r="HFF30" s="1"/>
      <c r="HFG30" s="1"/>
      <c r="HFH30" s="1"/>
      <c r="HFI30" s="1"/>
      <c r="HFJ30" s="1"/>
      <c r="HFK30" s="1"/>
      <c r="HFL30" s="1"/>
      <c r="HFM30" s="1"/>
      <c r="HFN30" s="1"/>
      <c r="HFO30" s="1"/>
      <c r="HFP30" s="1"/>
      <c r="HFQ30" s="1"/>
      <c r="HFR30" s="1"/>
      <c r="HFS30" s="1"/>
      <c r="HFT30" s="1"/>
      <c r="HFU30" s="1"/>
      <c r="HFV30" s="1"/>
      <c r="HFW30" s="1"/>
      <c r="HFX30" s="1"/>
      <c r="HFY30" s="1"/>
      <c r="HFZ30" s="1"/>
      <c r="HGA30" s="1"/>
      <c r="HGB30" s="1"/>
      <c r="HGC30" s="1"/>
      <c r="HGD30" s="1"/>
      <c r="HGE30" s="1"/>
      <c r="HGF30" s="1"/>
      <c r="HGG30" s="1"/>
      <c r="HGH30" s="1"/>
      <c r="HGI30" s="1"/>
      <c r="HGJ30" s="1"/>
      <c r="HGK30" s="1"/>
      <c r="HGL30" s="1"/>
      <c r="HGM30" s="1"/>
      <c r="HGN30" s="1"/>
      <c r="HGO30" s="1"/>
      <c r="HGP30" s="1"/>
      <c r="HGQ30" s="1"/>
      <c r="HGR30" s="1"/>
      <c r="HGS30" s="1"/>
      <c r="HGT30" s="1"/>
      <c r="HGU30" s="1"/>
      <c r="HGV30" s="1"/>
      <c r="HGW30" s="1"/>
      <c r="HGX30" s="1"/>
      <c r="HGY30" s="1"/>
      <c r="HGZ30" s="1"/>
      <c r="HHA30" s="1"/>
      <c r="HHB30" s="1"/>
      <c r="HHC30" s="1"/>
      <c r="HHD30" s="1"/>
      <c r="HHE30" s="1"/>
      <c r="HHF30" s="1"/>
      <c r="HHG30" s="1"/>
      <c r="HHH30" s="1"/>
      <c r="HHI30" s="1"/>
      <c r="HHJ30" s="1"/>
      <c r="HHK30" s="1"/>
      <c r="HHL30" s="1"/>
      <c r="HHM30" s="1"/>
      <c r="HHN30" s="1"/>
      <c r="HHO30" s="1"/>
      <c r="HHP30" s="1"/>
      <c r="HHQ30" s="1"/>
      <c r="HHR30" s="1"/>
      <c r="HHS30" s="1"/>
      <c r="HHT30" s="1"/>
      <c r="HHU30" s="1"/>
      <c r="HHV30" s="1"/>
      <c r="HHW30" s="1"/>
      <c r="HHX30" s="1"/>
      <c r="HHY30" s="1"/>
      <c r="HHZ30" s="1"/>
      <c r="HIA30" s="1"/>
      <c r="HIB30" s="1"/>
      <c r="HIC30" s="1"/>
      <c r="HID30" s="1"/>
      <c r="HIE30" s="1"/>
      <c r="HIF30" s="1"/>
      <c r="HIG30" s="1"/>
      <c r="HIH30" s="1"/>
      <c r="HII30" s="1"/>
      <c r="HIJ30" s="1"/>
      <c r="HIK30" s="1"/>
      <c r="HIL30" s="1"/>
      <c r="HIM30" s="1"/>
      <c r="HIN30" s="1"/>
      <c r="HIO30" s="1"/>
      <c r="HIP30" s="1"/>
      <c r="HIQ30" s="1"/>
      <c r="HIR30" s="1"/>
      <c r="HIS30" s="1"/>
      <c r="HIT30" s="1"/>
      <c r="HIU30" s="1"/>
      <c r="HIV30" s="1"/>
      <c r="HIW30" s="1"/>
      <c r="HIX30" s="1"/>
      <c r="HIY30" s="1"/>
      <c r="HIZ30" s="1"/>
      <c r="HJA30" s="1"/>
      <c r="HJB30" s="1"/>
      <c r="HJC30" s="1"/>
      <c r="HJD30" s="1"/>
      <c r="HJE30" s="1"/>
      <c r="HJF30" s="1"/>
      <c r="HJG30" s="1"/>
      <c r="HJH30" s="1"/>
      <c r="HJI30" s="1"/>
      <c r="HJJ30" s="1"/>
      <c r="HJK30" s="1"/>
      <c r="HJL30" s="1"/>
      <c r="HJM30" s="1"/>
      <c r="HJN30" s="1"/>
      <c r="HJO30" s="1"/>
      <c r="HJP30" s="1"/>
      <c r="HJQ30" s="1"/>
      <c r="HJR30" s="1"/>
      <c r="HJS30" s="1"/>
      <c r="HJT30" s="1"/>
      <c r="HJU30" s="1"/>
      <c r="HJV30" s="1"/>
      <c r="HJW30" s="1"/>
      <c r="HJX30" s="1"/>
      <c r="HJY30" s="1"/>
      <c r="HJZ30" s="1"/>
      <c r="HKA30" s="1"/>
      <c r="HKB30" s="1"/>
      <c r="HKC30" s="1"/>
      <c r="HKD30" s="1"/>
      <c r="HKE30" s="1"/>
      <c r="HKF30" s="1"/>
      <c r="HKG30" s="1"/>
      <c r="HKH30" s="1"/>
      <c r="HKI30" s="1"/>
      <c r="HKJ30" s="1"/>
      <c r="HKK30" s="1"/>
      <c r="HKL30" s="1"/>
      <c r="HKM30" s="1"/>
      <c r="HKN30" s="1"/>
      <c r="HKO30" s="1"/>
      <c r="HKP30" s="1"/>
      <c r="HKQ30" s="1"/>
      <c r="HKR30" s="1"/>
      <c r="HKS30" s="1"/>
      <c r="HKT30" s="1"/>
      <c r="HKU30" s="1"/>
      <c r="HKV30" s="1"/>
      <c r="HKW30" s="1"/>
      <c r="HKX30" s="1"/>
      <c r="HKY30" s="1"/>
      <c r="HKZ30" s="1"/>
      <c r="HLA30" s="1"/>
      <c r="HLB30" s="1"/>
      <c r="HLC30" s="1"/>
      <c r="HLD30" s="1"/>
      <c r="HLE30" s="1"/>
      <c r="HLF30" s="1"/>
      <c r="HLG30" s="1"/>
      <c r="HLH30" s="1"/>
      <c r="HLI30" s="1"/>
      <c r="HLJ30" s="1"/>
      <c r="HLK30" s="1"/>
      <c r="HLL30" s="1"/>
      <c r="HLM30" s="1"/>
      <c r="HLN30" s="1"/>
      <c r="HLO30" s="1"/>
      <c r="HLP30" s="1"/>
      <c r="HLQ30" s="1"/>
      <c r="HLR30" s="1"/>
      <c r="HLS30" s="1"/>
      <c r="HLT30" s="1"/>
      <c r="HLU30" s="1"/>
      <c r="HLV30" s="1"/>
      <c r="HLW30" s="1"/>
      <c r="HLX30" s="1"/>
      <c r="HLY30" s="1"/>
      <c r="HLZ30" s="1"/>
      <c r="HMA30" s="1"/>
      <c r="HMB30" s="1"/>
      <c r="HMC30" s="1"/>
      <c r="HMD30" s="1"/>
      <c r="HME30" s="1"/>
      <c r="HMF30" s="1"/>
      <c r="HMG30" s="1"/>
      <c r="HMH30" s="1"/>
      <c r="HMI30" s="1"/>
      <c r="HMJ30" s="1"/>
      <c r="HMK30" s="1"/>
      <c r="HML30" s="1"/>
      <c r="HMM30" s="1"/>
      <c r="HMN30" s="1"/>
      <c r="HMO30" s="1"/>
      <c r="HMP30" s="1"/>
      <c r="HMQ30" s="1"/>
      <c r="HMR30" s="1"/>
      <c r="HMS30" s="1"/>
      <c r="HMT30" s="1"/>
      <c r="HMU30" s="1"/>
      <c r="HMV30" s="1"/>
      <c r="HMW30" s="1"/>
      <c r="HMX30" s="1"/>
      <c r="HMY30" s="1"/>
      <c r="HMZ30" s="1"/>
      <c r="HNA30" s="1"/>
      <c r="HNB30" s="1"/>
      <c r="HNC30" s="1"/>
      <c r="HND30" s="1"/>
      <c r="HNE30" s="1"/>
      <c r="HNF30" s="1"/>
      <c r="HNG30" s="1"/>
      <c r="HNH30" s="1"/>
      <c r="HNI30" s="1"/>
      <c r="HNJ30" s="1"/>
      <c r="HNK30" s="1"/>
      <c r="HNL30" s="1"/>
      <c r="HNM30" s="1"/>
      <c r="HNN30" s="1"/>
      <c r="HNO30" s="1"/>
      <c r="HNP30" s="1"/>
      <c r="HNQ30" s="1"/>
      <c r="HNR30" s="1"/>
      <c r="HNS30" s="1"/>
      <c r="HNT30" s="1"/>
      <c r="HNU30" s="1"/>
      <c r="HNV30" s="1"/>
      <c r="HNW30" s="1"/>
      <c r="HNX30" s="1"/>
      <c r="HNY30" s="1"/>
      <c r="HNZ30" s="1"/>
      <c r="HOA30" s="1"/>
      <c r="HOB30" s="1"/>
      <c r="HOC30" s="1"/>
      <c r="HOD30" s="1"/>
      <c r="HOE30" s="1"/>
      <c r="HOF30" s="1"/>
      <c r="HOG30" s="1"/>
      <c r="HOH30" s="1"/>
      <c r="HOI30" s="1"/>
      <c r="HOJ30" s="1"/>
      <c r="HOK30" s="1"/>
      <c r="HOL30" s="1"/>
      <c r="HOM30" s="1"/>
      <c r="HON30" s="1"/>
      <c r="HOO30" s="1"/>
      <c r="HOP30" s="1"/>
      <c r="HOQ30" s="1"/>
      <c r="HOR30" s="1"/>
      <c r="HOS30" s="1"/>
      <c r="HOT30" s="1"/>
      <c r="HOU30" s="1"/>
      <c r="HOV30" s="1"/>
      <c r="HOW30" s="1"/>
      <c r="HOX30" s="1"/>
      <c r="HOY30" s="1"/>
      <c r="HOZ30" s="1"/>
      <c r="HPA30" s="1"/>
      <c r="HPB30" s="1"/>
      <c r="HPC30" s="1"/>
      <c r="HPD30" s="1"/>
      <c r="HPE30" s="1"/>
      <c r="HPF30" s="1"/>
      <c r="HPG30" s="1"/>
      <c r="HPH30" s="1"/>
      <c r="HPI30" s="1"/>
      <c r="HPJ30" s="1"/>
      <c r="HPK30" s="1"/>
      <c r="HPL30" s="1"/>
      <c r="HPM30" s="1"/>
      <c r="HPN30" s="1"/>
      <c r="HPO30" s="1"/>
      <c r="HPP30" s="1"/>
      <c r="HPQ30" s="1"/>
      <c r="HPR30" s="1"/>
      <c r="HPS30" s="1"/>
      <c r="HPT30" s="1"/>
      <c r="HPU30" s="1"/>
      <c r="HPV30" s="1"/>
      <c r="HPW30" s="1"/>
      <c r="HPX30" s="1"/>
      <c r="HPY30" s="1"/>
      <c r="HPZ30" s="1"/>
      <c r="HQA30" s="1"/>
      <c r="HQB30" s="1"/>
      <c r="HQC30" s="1"/>
      <c r="HQD30" s="1"/>
      <c r="HQE30" s="1"/>
      <c r="HQF30" s="1"/>
      <c r="HQG30" s="1"/>
      <c r="HQH30" s="1"/>
      <c r="HQI30" s="1"/>
      <c r="HQJ30" s="1"/>
      <c r="HQK30" s="1"/>
      <c r="HQL30" s="1"/>
      <c r="HQM30" s="1"/>
      <c r="HQN30" s="1"/>
      <c r="HQO30" s="1"/>
      <c r="HQP30" s="1"/>
      <c r="HQQ30" s="1"/>
      <c r="HQR30" s="1"/>
      <c r="HQS30" s="1"/>
      <c r="HQT30" s="1"/>
      <c r="HQU30" s="1"/>
      <c r="HQV30" s="1"/>
      <c r="HQW30" s="1"/>
      <c r="HQX30" s="1"/>
      <c r="HQY30" s="1"/>
      <c r="HQZ30" s="1"/>
      <c r="HRA30" s="1"/>
      <c r="HRB30" s="1"/>
      <c r="HRC30" s="1"/>
      <c r="HRD30" s="1"/>
      <c r="HRE30" s="1"/>
      <c r="HRF30" s="1"/>
      <c r="HRG30" s="1"/>
      <c r="HRH30" s="1"/>
      <c r="HRI30" s="1"/>
      <c r="HRJ30" s="1"/>
      <c r="HRK30" s="1"/>
      <c r="HRL30" s="1"/>
      <c r="HRM30" s="1"/>
      <c r="HRN30" s="1"/>
      <c r="HRO30" s="1"/>
      <c r="HRP30" s="1"/>
      <c r="HRQ30" s="1"/>
      <c r="HRR30" s="1"/>
      <c r="HRS30" s="1"/>
      <c r="HRT30" s="1"/>
      <c r="HRU30" s="1"/>
      <c r="HRV30" s="1"/>
      <c r="HRW30" s="1"/>
      <c r="HRX30" s="1"/>
      <c r="HRY30" s="1"/>
      <c r="HRZ30" s="1"/>
      <c r="HSA30" s="1"/>
      <c r="HSB30" s="1"/>
      <c r="HSC30" s="1"/>
      <c r="HSD30" s="1"/>
      <c r="HSE30" s="1"/>
      <c r="HSF30" s="1"/>
      <c r="HSG30" s="1"/>
      <c r="HSH30" s="1"/>
      <c r="HSI30" s="1"/>
      <c r="HSJ30" s="1"/>
      <c r="HSK30" s="1"/>
      <c r="HSL30" s="1"/>
      <c r="HSM30" s="1"/>
      <c r="HSN30" s="1"/>
      <c r="HSO30" s="1"/>
      <c r="HSP30" s="1"/>
      <c r="HSQ30" s="1"/>
      <c r="HSR30" s="1"/>
      <c r="HSS30" s="1"/>
      <c r="HST30" s="1"/>
      <c r="HSU30" s="1"/>
      <c r="HSV30" s="1"/>
      <c r="HSW30" s="1"/>
      <c r="HSX30" s="1"/>
      <c r="HSY30" s="1"/>
      <c r="HSZ30" s="1"/>
      <c r="HTA30" s="1"/>
      <c r="HTB30" s="1"/>
      <c r="HTC30" s="1"/>
      <c r="HTD30" s="1"/>
      <c r="HTE30" s="1"/>
      <c r="HTF30" s="1"/>
      <c r="HTG30" s="1"/>
      <c r="HTH30" s="1"/>
      <c r="HTI30" s="1"/>
      <c r="HTJ30" s="1"/>
      <c r="HTK30" s="1"/>
      <c r="HTL30" s="1"/>
      <c r="HTM30" s="1"/>
      <c r="HTN30" s="1"/>
      <c r="HTO30" s="1"/>
      <c r="HTP30" s="1"/>
      <c r="HTQ30" s="1"/>
      <c r="HTR30" s="1"/>
      <c r="HTS30" s="1"/>
      <c r="HTT30" s="1"/>
      <c r="HTU30" s="1"/>
      <c r="HTV30" s="1"/>
      <c r="HTW30" s="1"/>
      <c r="HTX30" s="1"/>
      <c r="HTY30" s="1"/>
      <c r="HTZ30" s="1"/>
      <c r="HUA30" s="1"/>
      <c r="HUB30" s="1"/>
      <c r="HUC30" s="1"/>
      <c r="HUD30" s="1"/>
      <c r="HUE30" s="1"/>
      <c r="HUF30" s="1"/>
      <c r="HUG30" s="1"/>
      <c r="HUH30" s="1"/>
      <c r="HUI30" s="1"/>
      <c r="HUJ30" s="1"/>
      <c r="HUK30" s="1"/>
      <c r="HUL30" s="1"/>
      <c r="HUM30" s="1"/>
      <c r="HUN30" s="1"/>
      <c r="HUO30" s="1"/>
      <c r="HUP30" s="1"/>
      <c r="HUQ30" s="1"/>
      <c r="HUR30" s="1"/>
      <c r="HUS30" s="1"/>
      <c r="HUT30" s="1"/>
      <c r="HUU30" s="1"/>
      <c r="HUV30" s="1"/>
      <c r="HUW30" s="1"/>
      <c r="HUX30" s="1"/>
      <c r="HUY30" s="1"/>
      <c r="HUZ30" s="1"/>
      <c r="HVA30" s="1"/>
      <c r="HVB30" s="1"/>
      <c r="HVC30" s="1"/>
      <c r="HVD30" s="1"/>
      <c r="HVE30" s="1"/>
      <c r="HVF30" s="1"/>
      <c r="HVG30" s="1"/>
      <c r="HVH30" s="1"/>
      <c r="HVI30" s="1"/>
      <c r="HVJ30" s="1"/>
      <c r="HVK30" s="1"/>
      <c r="HVL30" s="1"/>
      <c r="HVM30" s="1"/>
      <c r="HVN30" s="1"/>
      <c r="HVO30" s="1"/>
      <c r="HVP30" s="1"/>
      <c r="HVQ30" s="1"/>
      <c r="HVR30" s="1"/>
      <c r="HVS30" s="1"/>
      <c r="HVT30" s="1"/>
      <c r="HVU30" s="1"/>
      <c r="HVV30" s="1"/>
      <c r="HVW30" s="1"/>
      <c r="HVX30" s="1"/>
      <c r="HVY30" s="1"/>
      <c r="HVZ30" s="1"/>
      <c r="HWA30" s="1"/>
      <c r="HWB30" s="1"/>
      <c r="HWC30" s="1"/>
      <c r="HWD30" s="1"/>
      <c r="HWE30" s="1"/>
      <c r="HWF30" s="1"/>
      <c r="HWG30" s="1"/>
      <c r="HWH30" s="1"/>
      <c r="HWI30" s="1"/>
      <c r="HWJ30" s="1"/>
      <c r="HWK30" s="1"/>
      <c r="HWL30" s="1"/>
      <c r="HWM30" s="1"/>
      <c r="HWN30" s="1"/>
      <c r="HWO30" s="1"/>
      <c r="HWP30" s="1"/>
      <c r="HWQ30" s="1"/>
      <c r="HWR30" s="1"/>
      <c r="HWS30" s="1"/>
      <c r="HWT30" s="1"/>
      <c r="HWU30" s="1"/>
      <c r="HWV30" s="1"/>
      <c r="HWW30" s="1"/>
      <c r="HWX30" s="1"/>
      <c r="HWY30" s="1"/>
      <c r="HWZ30" s="1"/>
      <c r="HXA30" s="1"/>
      <c r="HXB30" s="1"/>
      <c r="HXC30" s="1"/>
      <c r="HXD30" s="1"/>
      <c r="HXE30" s="1"/>
      <c r="HXF30" s="1"/>
      <c r="HXG30" s="1"/>
      <c r="HXH30" s="1"/>
      <c r="HXI30" s="1"/>
      <c r="HXJ30" s="1"/>
      <c r="HXK30" s="1"/>
      <c r="HXL30" s="1"/>
      <c r="HXM30" s="1"/>
      <c r="HXN30" s="1"/>
      <c r="HXO30" s="1"/>
      <c r="HXP30" s="1"/>
      <c r="HXQ30" s="1"/>
      <c r="HXR30" s="1"/>
      <c r="HXS30" s="1"/>
      <c r="HXT30" s="1"/>
      <c r="HXU30" s="1"/>
      <c r="HXV30" s="1"/>
      <c r="HXW30" s="1"/>
      <c r="HXX30" s="1"/>
      <c r="HXY30" s="1"/>
      <c r="HXZ30" s="1"/>
      <c r="HYA30" s="1"/>
      <c r="HYB30" s="1"/>
      <c r="HYC30" s="1"/>
      <c r="HYD30" s="1"/>
      <c r="HYE30" s="1"/>
      <c r="HYF30" s="1"/>
      <c r="HYG30" s="1"/>
      <c r="HYH30" s="1"/>
      <c r="HYI30" s="1"/>
      <c r="HYJ30" s="1"/>
      <c r="HYK30" s="1"/>
      <c r="HYL30" s="1"/>
      <c r="HYM30" s="1"/>
      <c r="HYN30" s="1"/>
      <c r="HYO30" s="1"/>
      <c r="HYP30" s="1"/>
      <c r="HYQ30" s="1"/>
      <c r="HYR30" s="1"/>
      <c r="HYS30" s="1"/>
      <c r="HYT30" s="1"/>
      <c r="HYU30" s="1"/>
      <c r="HYV30" s="1"/>
      <c r="HYW30" s="1"/>
      <c r="HYX30" s="1"/>
      <c r="HYY30" s="1"/>
      <c r="HYZ30" s="1"/>
      <c r="HZA30" s="1"/>
      <c r="HZB30" s="1"/>
      <c r="HZC30" s="1"/>
      <c r="HZD30" s="1"/>
      <c r="HZE30" s="1"/>
      <c r="HZF30" s="1"/>
      <c r="HZG30" s="1"/>
      <c r="HZH30" s="1"/>
      <c r="HZI30" s="1"/>
      <c r="HZJ30" s="1"/>
      <c r="HZK30" s="1"/>
      <c r="HZL30" s="1"/>
      <c r="HZM30" s="1"/>
      <c r="HZN30" s="1"/>
      <c r="HZO30" s="1"/>
      <c r="HZP30" s="1"/>
      <c r="HZQ30" s="1"/>
      <c r="HZR30" s="1"/>
      <c r="HZS30" s="1"/>
      <c r="HZT30" s="1"/>
      <c r="HZU30" s="1"/>
      <c r="HZV30" s="1"/>
      <c r="HZW30" s="1"/>
      <c r="HZX30" s="1"/>
      <c r="HZY30" s="1"/>
      <c r="HZZ30" s="1"/>
      <c r="IAA30" s="1"/>
      <c r="IAB30" s="1"/>
      <c r="IAC30" s="1"/>
      <c r="IAD30" s="1"/>
      <c r="IAE30" s="1"/>
      <c r="IAF30" s="1"/>
      <c r="IAG30" s="1"/>
      <c r="IAH30" s="1"/>
      <c r="IAI30" s="1"/>
      <c r="IAJ30" s="1"/>
      <c r="IAK30" s="1"/>
      <c r="IAL30" s="1"/>
      <c r="IAM30" s="1"/>
      <c r="IAN30" s="1"/>
      <c r="IAO30" s="1"/>
      <c r="IAP30" s="1"/>
      <c r="IAQ30" s="1"/>
      <c r="IAR30" s="1"/>
      <c r="IAS30" s="1"/>
      <c r="IAT30" s="1"/>
      <c r="IAU30" s="1"/>
      <c r="IAV30" s="1"/>
      <c r="IAW30" s="1"/>
      <c r="IAX30" s="1"/>
      <c r="IAY30" s="1"/>
      <c r="IAZ30" s="1"/>
      <c r="IBA30" s="1"/>
      <c r="IBB30" s="1"/>
      <c r="IBC30" s="1"/>
      <c r="IBD30" s="1"/>
      <c r="IBE30" s="1"/>
      <c r="IBF30" s="1"/>
      <c r="IBG30" s="1"/>
      <c r="IBH30" s="1"/>
      <c r="IBI30" s="1"/>
      <c r="IBJ30" s="1"/>
      <c r="IBK30" s="1"/>
      <c r="IBL30" s="1"/>
      <c r="IBM30" s="1"/>
      <c r="IBN30" s="1"/>
      <c r="IBO30" s="1"/>
      <c r="IBP30" s="1"/>
      <c r="IBQ30" s="1"/>
      <c r="IBR30" s="1"/>
      <c r="IBS30" s="1"/>
      <c r="IBT30" s="1"/>
      <c r="IBU30" s="1"/>
      <c r="IBV30" s="1"/>
      <c r="IBW30" s="1"/>
      <c r="IBX30" s="1"/>
      <c r="IBY30" s="1"/>
      <c r="IBZ30" s="1"/>
      <c r="ICA30" s="1"/>
      <c r="ICB30" s="1"/>
      <c r="ICC30" s="1"/>
      <c r="ICD30" s="1"/>
      <c r="ICE30" s="1"/>
      <c r="ICF30" s="1"/>
      <c r="ICG30" s="1"/>
      <c r="ICH30" s="1"/>
      <c r="ICI30" s="1"/>
      <c r="ICJ30" s="1"/>
      <c r="ICK30" s="1"/>
      <c r="ICL30" s="1"/>
      <c r="ICM30" s="1"/>
      <c r="ICN30" s="1"/>
      <c r="ICO30" s="1"/>
      <c r="ICP30" s="1"/>
      <c r="ICQ30" s="1"/>
      <c r="ICR30" s="1"/>
      <c r="ICS30" s="1"/>
      <c r="ICT30" s="1"/>
      <c r="ICU30" s="1"/>
      <c r="ICV30" s="1"/>
      <c r="ICW30" s="1"/>
      <c r="ICX30" s="1"/>
      <c r="ICY30" s="1"/>
      <c r="ICZ30" s="1"/>
      <c r="IDA30" s="1"/>
      <c r="IDB30" s="1"/>
      <c r="IDC30" s="1"/>
      <c r="IDD30" s="1"/>
      <c r="IDE30" s="1"/>
      <c r="IDF30" s="1"/>
      <c r="IDG30" s="1"/>
      <c r="IDH30" s="1"/>
      <c r="IDI30" s="1"/>
      <c r="IDJ30" s="1"/>
      <c r="IDK30" s="1"/>
      <c r="IDL30" s="1"/>
      <c r="IDM30" s="1"/>
      <c r="IDN30" s="1"/>
      <c r="IDO30" s="1"/>
      <c r="IDP30" s="1"/>
      <c r="IDQ30" s="1"/>
      <c r="IDR30" s="1"/>
      <c r="IDS30" s="1"/>
      <c r="IDT30" s="1"/>
      <c r="IDU30" s="1"/>
      <c r="IDV30" s="1"/>
      <c r="IDW30" s="1"/>
      <c r="IDX30" s="1"/>
      <c r="IDY30" s="1"/>
      <c r="IDZ30" s="1"/>
      <c r="IEA30" s="1"/>
      <c r="IEB30" s="1"/>
      <c r="IEC30" s="1"/>
      <c r="IED30" s="1"/>
      <c r="IEE30" s="1"/>
      <c r="IEF30" s="1"/>
      <c r="IEG30" s="1"/>
      <c r="IEH30" s="1"/>
      <c r="IEI30" s="1"/>
      <c r="IEJ30" s="1"/>
      <c r="IEK30" s="1"/>
      <c r="IEL30" s="1"/>
      <c r="IEM30" s="1"/>
      <c r="IEN30" s="1"/>
      <c r="IEO30" s="1"/>
      <c r="IEP30" s="1"/>
      <c r="IEQ30" s="1"/>
      <c r="IER30" s="1"/>
      <c r="IES30" s="1"/>
      <c r="IET30" s="1"/>
      <c r="IEU30" s="1"/>
      <c r="IEV30" s="1"/>
      <c r="IEW30" s="1"/>
      <c r="IEX30" s="1"/>
      <c r="IEY30" s="1"/>
      <c r="IEZ30" s="1"/>
      <c r="IFA30" s="1"/>
      <c r="IFB30" s="1"/>
      <c r="IFC30" s="1"/>
      <c r="IFD30" s="1"/>
      <c r="IFE30" s="1"/>
      <c r="IFF30" s="1"/>
      <c r="IFG30" s="1"/>
      <c r="IFH30" s="1"/>
      <c r="IFI30" s="1"/>
      <c r="IFJ30" s="1"/>
      <c r="IFK30" s="1"/>
      <c r="IFL30" s="1"/>
      <c r="IFM30" s="1"/>
      <c r="IFN30" s="1"/>
      <c r="IFO30" s="1"/>
      <c r="IFP30" s="1"/>
      <c r="IFQ30" s="1"/>
      <c r="IFR30" s="1"/>
      <c r="IFS30" s="1"/>
      <c r="IFT30" s="1"/>
      <c r="IFU30" s="1"/>
      <c r="IFV30" s="1"/>
      <c r="IFW30" s="1"/>
      <c r="IFX30" s="1"/>
      <c r="IFY30" s="1"/>
      <c r="IFZ30" s="1"/>
      <c r="IGA30" s="1"/>
      <c r="IGB30" s="1"/>
      <c r="IGC30" s="1"/>
      <c r="IGD30" s="1"/>
      <c r="IGE30" s="1"/>
      <c r="IGF30" s="1"/>
      <c r="IGG30" s="1"/>
      <c r="IGH30" s="1"/>
      <c r="IGI30" s="1"/>
      <c r="IGJ30" s="1"/>
      <c r="IGK30" s="1"/>
      <c r="IGL30" s="1"/>
      <c r="IGM30" s="1"/>
      <c r="IGN30" s="1"/>
      <c r="IGO30" s="1"/>
      <c r="IGP30" s="1"/>
      <c r="IGQ30" s="1"/>
      <c r="IGR30" s="1"/>
      <c r="IGS30" s="1"/>
      <c r="IGT30" s="1"/>
      <c r="IGU30" s="1"/>
      <c r="IGV30" s="1"/>
      <c r="IGW30" s="1"/>
      <c r="IGX30" s="1"/>
      <c r="IGY30" s="1"/>
      <c r="IGZ30" s="1"/>
      <c r="IHA30" s="1"/>
      <c r="IHB30" s="1"/>
      <c r="IHC30" s="1"/>
      <c r="IHD30" s="1"/>
      <c r="IHE30" s="1"/>
      <c r="IHF30" s="1"/>
      <c r="IHG30" s="1"/>
      <c r="IHH30" s="1"/>
      <c r="IHI30" s="1"/>
      <c r="IHJ30" s="1"/>
      <c r="IHK30" s="1"/>
      <c r="IHL30" s="1"/>
      <c r="IHM30" s="1"/>
      <c r="IHN30" s="1"/>
      <c r="IHO30" s="1"/>
      <c r="IHP30" s="1"/>
      <c r="IHQ30" s="1"/>
      <c r="IHR30" s="1"/>
      <c r="IHS30" s="1"/>
      <c r="IHT30" s="1"/>
      <c r="IHU30" s="1"/>
      <c r="IHV30" s="1"/>
      <c r="IHW30" s="1"/>
      <c r="IHX30" s="1"/>
      <c r="IHY30" s="1"/>
      <c r="IHZ30" s="1"/>
      <c r="IIA30" s="1"/>
      <c r="IIB30" s="1"/>
      <c r="IIC30" s="1"/>
      <c r="IID30" s="1"/>
      <c r="IIE30" s="1"/>
      <c r="IIF30" s="1"/>
      <c r="IIG30" s="1"/>
      <c r="IIH30" s="1"/>
      <c r="III30" s="1"/>
      <c r="IIJ30" s="1"/>
      <c r="IIK30" s="1"/>
      <c r="IIL30" s="1"/>
      <c r="IIM30" s="1"/>
      <c r="IIN30" s="1"/>
      <c r="IIO30" s="1"/>
      <c r="IIP30" s="1"/>
      <c r="IIQ30" s="1"/>
      <c r="IIR30" s="1"/>
      <c r="IIS30" s="1"/>
      <c r="IIT30" s="1"/>
      <c r="IIU30" s="1"/>
      <c r="IIV30" s="1"/>
      <c r="IIW30" s="1"/>
      <c r="IIX30" s="1"/>
      <c r="IIY30" s="1"/>
      <c r="IIZ30" s="1"/>
      <c r="IJA30" s="1"/>
      <c r="IJB30" s="1"/>
      <c r="IJC30" s="1"/>
      <c r="IJD30" s="1"/>
      <c r="IJE30" s="1"/>
      <c r="IJF30" s="1"/>
      <c r="IJG30" s="1"/>
      <c r="IJH30" s="1"/>
      <c r="IJI30" s="1"/>
      <c r="IJJ30" s="1"/>
      <c r="IJK30" s="1"/>
      <c r="IJL30" s="1"/>
      <c r="IJM30" s="1"/>
      <c r="IJN30" s="1"/>
      <c r="IJO30" s="1"/>
      <c r="IJP30" s="1"/>
      <c r="IJQ30" s="1"/>
      <c r="IJR30" s="1"/>
      <c r="IJS30" s="1"/>
      <c r="IJT30" s="1"/>
      <c r="IJU30" s="1"/>
      <c r="IJV30" s="1"/>
      <c r="IJW30" s="1"/>
      <c r="IJX30" s="1"/>
      <c r="IJY30" s="1"/>
      <c r="IJZ30" s="1"/>
      <c r="IKA30" s="1"/>
      <c r="IKB30" s="1"/>
      <c r="IKC30" s="1"/>
      <c r="IKD30" s="1"/>
      <c r="IKE30" s="1"/>
      <c r="IKF30" s="1"/>
      <c r="IKG30" s="1"/>
      <c r="IKH30" s="1"/>
      <c r="IKI30" s="1"/>
      <c r="IKJ30" s="1"/>
      <c r="IKK30" s="1"/>
      <c r="IKL30" s="1"/>
      <c r="IKM30" s="1"/>
      <c r="IKN30" s="1"/>
      <c r="IKO30" s="1"/>
      <c r="IKP30" s="1"/>
      <c r="IKQ30" s="1"/>
      <c r="IKR30" s="1"/>
      <c r="IKS30" s="1"/>
      <c r="IKT30" s="1"/>
      <c r="IKU30" s="1"/>
      <c r="IKV30" s="1"/>
      <c r="IKW30" s="1"/>
      <c r="IKX30" s="1"/>
      <c r="IKY30" s="1"/>
      <c r="IKZ30" s="1"/>
      <c r="ILA30" s="1"/>
      <c r="ILB30" s="1"/>
      <c r="ILC30" s="1"/>
      <c r="ILD30" s="1"/>
      <c r="ILE30" s="1"/>
      <c r="ILF30" s="1"/>
      <c r="ILG30" s="1"/>
      <c r="ILH30" s="1"/>
      <c r="ILI30" s="1"/>
      <c r="ILJ30" s="1"/>
      <c r="ILK30" s="1"/>
      <c r="ILL30" s="1"/>
      <c r="ILM30" s="1"/>
      <c r="ILN30" s="1"/>
      <c r="ILO30" s="1"/>
      <c r="ILP30" s="1"/>
      <c r="ILQ30" s="1"/>
      <c r="ILR30" s="1"/>
      <c r="ILS30" s="1"/>
      <c r="ILT30" s="1"/>
      <c r="ILU30" s="1"/>
      <c r="ILV30" s="1"/>
      <c r="ILW30" s="1"/>
      <c r="ILX30" s="1"/>
      <c r="ILY30" s="1"/>
      <c r="ILZ30" s="1"/>
      <c r="IMA30" s="1"/>
      <c r="IMB30" s="1"/>
      <c r="IMC30" s="1"/>
      <c r="IMD30" s="1"/>
      <c r="IME30" s="1"/>
      <c r="IMF30" s="1"/>
      <c r="IMG30" s="1"/>
      <c r="IMH30" s="1"/>
      <c r="IMI30" s="1"/>
      <c r="IMJ30" s="1"/>
      <c r="IMK30" s="1"/>
      <c r="IML30" s="1"/>
      <c r="IMM30" s="1"/>
      <c r="IMN30" s="1"/>
      <c r="IMO30" s="1"/>
      <c r="IMP30" s="1"/>
      <c r="IMQ30" s="1"/>
      <c r="IMR30" s="1"/>
      <c r="IMS30" s="1"/>
      <c r="IMT30" s="1"/>
      <c r="IMU30" s="1"/>
      <c r="IMV30" s="1"/>
      <c r="IMW30" s="1"/>
      <c r="IMX30" s="1"/>
      <c r="IMY30" s="1"/>
      <c r="IMZ30" s="1"/>
      <c r="INA30" s="1"/>
      <c r="INB30" s="1"/>
      <c r="INC30" s="1"/>
      <c r="IND30" s="1"/>
      <c r="INE30" s="1"/>
      <c r="INF30" s="1"/>
      <c r="ING30" s="1"/>
      <c r="INH30" s="1"/>
      <c r="INI30" s="1"/>
      <c r="INJ30" s="1"/>
      <c r="INK30" s="1"/>
      <c r="INL30" s="1"/>
      <c r="INM30" s="1"/>
      <c r="INN30" s="1"/>
      <c r="INO30" s="1"/>
      <c r="INP30" s="1"/>
      <c r="INQ30" s="1"/>
      <c r="INR30" s="1"/>
      <c r="INS30" s="1"/>
      <c r="INT30" s="1"/>
      <c r="INU30" s="1"/>
      <c r="INV30" s="1"/>
      <c r="INW30" s="1"/>
      <c r="INX30" s="1"/>
      <c r="INY30" s="1"/>
      <c r="INZ30" s="1"/>
      <c r="IOA30" s="1"/>
      <c r="IOB30" s="1"/>
      <c r="IOC30" s="1"/>
      <c r="IOD30" s="1"/>
      <c r="IOE30" s="1"/>
      <c r="IOF30" s="1"/>
      <c r="IOG30" s="1"/>
      <c r="IOH30" s="1"/>
      <c r="IOI30" s="1"/>
      <c r="IOJ30" s="1"/>
      <c r="IOK30" s="1"/>
      <c r="IOL30" s="1"/>
      <c r="IOM30" s="1"/>
      <c r="ION30" s="1"/>
      <c r="IOO30" s="1"/>
      <c r="IOP30" s="1"/>
      <c r="IOQ30" s="1"/>
      <c r="IOR30" s="1"/>
      <c r="IOS30" s="1"/>
      <c r="IOT30" s="1"/>
      <c r="IOU30" s="1"/>
      <c r="IOV30" s="1"/>
      <c r="IOW30" s="1"/>
      <c r="IOX30" s="1"/>
      <c r="IOY30" s="1"/>
      <c r="IOZ30" s="1"/>
      <c r="IPA30" s="1"/>
      <c r="IPB30" s="1"/>
      <c r="IPC30" s="1"/>
      <c r="IPD30" s="1"/>
      <c r="IPE30" s="1"/>
      <c r="IPF30" s="1"/>
      <c r="IPG30" s="1"/>
      <c r="IPH30" s="1"/>
      <c r="IPI30" s="1"/>
      <c r="IPJ30" s="1"/>
      <c r="IPK30" s="1"/>
      <c r="IPL30" s="1"/>
      <c r="IPM30" s="1"/>
      <c r="IPN30" s="1"/>
      <c r="IPO30" s="1"/>
      <c r="IPP30" s="1"/>
      <c r="IPQ30" s="1"/>
      <c r="IPR30" s="1"/>
      <c r="IPS30" s="1"/>
      <c r="IPT30" s="1"/>
      <c r="IPU30" s="1"/>
      <c r="IPV30" s="1"/>
      <c r="IPW30" s="1"/>
      <c r="IPX30" s="1"/>
      <c r="IPY30" s="1"/>
      <c r="IPZ30" s="1"/>
      <c r="IQA30" s="1"/>
      <c r="IQB30" s="1"/>
      <c r="IQC30" s="1"/>
      <c r="IQD30" s="1"/>
      <c r="IQE30" s="1"/>
      <c r="IQF30" s="1"/>
      <c r="IQG30" s="1"/>
      <c r="IQH30" s="1"/>
      <c r="IQI30" s="1"/>
      <c r="IQJ30" s="1"/>
      <c r="IQK30" s="1"/>
      <c r="IQL30" s="1"/>
      <c r="IQM30" s="1"/>
      <c r="IQN30" s="1"/>
      <c r="IQO30" s="1"/>
      <c r="IQP30" s="1"/>
      <c r="IQQ30" s="1"/>
      <c r="IQR30" s="1"/>
      <c r="IQS30" s="1"/>
      <c r="IQT30" s="1"/>
      <c r="IQU30" s="1"/>
      <c r="IQV30" s="1"/>
      <c r="IQW30" s="1"/>
      <c r="IQX30" s="1"/>
      <c r="IQY30" s="1"/>
      <c r="IQZ30" s="1"/>
      <c r="IRA30" s="1"/>
      <c r="IRB30" s="1"/>
      <c r="IRC30" s="1"/>
      <c r="IRD30" s="1"/>
      <c r="IRE30" s="1"/>
      <c r="IRF30" s="1"/>
      <c r="IRG30" s="1"/>
      <c r="IRH30" s="1"/>
      <c r="IRI30" s="1"/>
      <c r="IRJ30" s="1"/>
      <c r="IRK30" s="1"/>
      <c r="IRL30" s="1"/>
      <c r="IRM30" s="1"/>
      <c r="IRN30" s="1"/>
      <c r="IRO30" s="1"/>
      <c r="IRP30" s="1"/>
      <c r="IRQ30" s="1"/>
      <c r="IRR30" s="1"/>
      <c r="IRS30" s="1"/>
      <c r="IRT30" s="1"/>
      <c r="IRU30" s="1"/>
      <c r="IRV30" s="1"/>
      <c r="IRW30" s="1"/>
      <c r="IRX30" s="1"/>
      <c r="IRY30" s="1"/>
      <c r="IRZ30" s="1"/>
      <c r="ISA30" s="1"/>
      <c r="ISB30" s="1"/>
      <c r="ISC30" s="1"/>
      <c r="ISD30" s="1"/>
      <c r="ISE30" s="1"/>
      <c r="ISF30" s="1"/>
      <c r="ISG30" s="1"/>
      <c r="ISH30" s="1"/>
      <c r="ISI30" s="1"/>
      <c r="ISJ30" s="1"/>
      <c r="ISK30" s="1"/>
      <c r="ISL30" s="1"/>
      <c r="ISM30" s="1"/>
      <c r="ISN30" s="1"/>
      <c r="ISO30" s="1"/>
      <c r="ISP30" s="1"/>
      <c r="ISQ30" s="1"/>
      <c r="ISR30" s="1"/>
      <c r="ISS30" s="1"/>
      <c r="IST30" s="1"/>
      <c r="ISU30" s="1"/>
      <c r="ISV30" s="1"/>
      <c r="ISW30" s="1"/>
      <c r="ISX30" s="1"/>
      <c r="ISY30" s="1"/>
      <c r="ISZ30" s="1"/>
      <c r="ITA30" s="1"/>
      <c r="ITB30" s="1"/>
      <c r="ITC30" s="1"/>
      <c r="ITD30" s="1"/>
      <c r="ITE30" s="1"/>
      <c r="ITF30" s="1"/>
      <c r="ITG30" s="1"/>
      <c r="ITH30" s="1"/>
      <c r="ITI30" s="1"/>
      <c r="ITJ30" s="1"/>
      <c r="ITK30" s="1"/>
      <c r="ITL30" s="1"/>
      <c r="ITM30" s="1"/>
      <c r="ITN30" s="1"/>
      <c r="ITO30" s="1"/>
      <c r="ITP30" s="1"/>
      <c r="ITQ30" s="1"/>
      <c r="ITR30" s="1"/>
      <c r="ITS30" s="1"/>
      <c r="ITT30" s="1"/>
      <c r="ITU30" s="1"/>
      <c r="ITV30" s="1"/>
      <c r="ITW30" s="1"/>
      <c r="ITX30" s="1"/>
      <c r="ITY30" s="1"/>
      <c r="ITZ30" s="1"/>
      <c r="IUA30" s="1"/>
      <c r="IUB30" s="1"/>
      <c r="IUC30" s="1"/>
      <c r="IUD30" s="1"/>
      <c r="IUE30" s="1"/>
      <c r="IUF30" s="1"/>
      <c r="IUG30" s="1"/>
      <c r="IUH30" s="1"/>
      <c r="IUI30" s="1"/>
      <c r="IUJ30" s="1"/>
      <c r="IUK30" s="1"/>
      <c r="IUL30" s="1"/>
      <c r="IUM30" s="1"/>
      <c r="IUN30" s="1"/>
      <c r="IUO30" s="1"/>
      <c r="IUP30" s="1"/>
      <c r="IUQ30" s="1"/>
      <c r="IUR30" s="1"/>
      <c r="IUS30" s="1"/>
      <c r="IUT30" s="1"/>
      <c r="IUU30" s="1"/>
      <c r="IUV30" s="1"/>
      <c r="IUW30" s="1"/>
      <c r="IUX30" s="1"/>
      <c r="IUY30" s="1"/>
      <c r="IUZ30" s="1"/>
      <c r="IVA30" s="1"/>
      <c r="IVB30" s="1"/>
      <c r="IVC30" s="1"/>
      <c r="IVD30" s="1"/>
      <c r="IVE30" s="1"/>
      <c r="IVF30" s="1"/>
      <c r="IVG30" s="1"/>
      <c r="IVH30" s="1"/>
      <c r="IVI30" s="1"/>
      <c r="IVJ30" s="1"/>
      <c r="IVK30" s="1"/>
      <c r="IVL30" s="1"/>
      <c r="IVM30" s="1"/>
      <c r="IVN30" s="1"/>
      <c r="IVO30" s="1"/>
      <c r="IVP30" s="1"/>
      <c r="IVQ30" s="1"/>
      <c r="IVR30" s="1"/>
      <c r="IVS30" s="1"/>
      <c r="IVT30" s="1"/>
      <c r="IVU30" s="1"/>
      <c r="IVV30" s="1"/>
      <c r="IVW30" s="1"/>
      <c r="IVX30" s="1"/>
      <c r="IVY30" s="1"/>
      <c r="IVZ30" s="1"/>
      <c r="IWA30" s="1"/>
      <c r="IWB30" s="1"/>
      <c r="IWC30" s="1"/>
      <c r="IWD30" s="1"/>
      <c r="IWE30" s="1"/>
      <c r="IWF30" s="1"/>
      <c r="IWG30" s="1"/>
      <c r="IWH30" s="1"/>
      <c r="IWI30" s="1"/>
      <c r="IWJ30" s="1"/>
      <c r="IWK30" s="1"/>
      <c r="IWL30" s="1"/>
      <c r="IWM30" s="1"/>
      <c r="IWN30" s="1"/>
      <c r="IWO30" s="1"/>
      <c r="IWP30" s="1"/>
      <c r="IWQ30" s="1"/>
      <c r="IWR30" s="1"/>
      <c r="IWS30" s="1"/>
      <c r="IWT30" s="1"/>
      <c r="IWU30" s="1"/>
      <c r="IWV30" s="1"/>
      <c r="IWW30" s="1"/>
      <c r="IWX30" s="1"/>
      <c r="IWY30" s="1"/>
      <c r="IWZ30" s="1"/>
      <c r="IXA30" s="1"/>
      <c r="IXB30" s="1"/>
      <c r="IXC30" s="1"/>
      <c r="IXD30" s="1"/>
      <c r="IXE30" s="1"/>
      <c r="IXF30" s="1"/>
      <c r="IXG30" s="1"/>
      <c r="IXH30" s="1"/>
      <c r="IXI30" s="1"/>
      <c r="IXJ30" s="1"/>
      <c r="IXK30" s="1"/>
      <c r="IXL30" s="1"/>
      <c r="IXM30" s="1"/>
      <c r="IXN30" s="1"/>
      <c r="IXO30" s="1"/>
      <c r="IXP30" s="1"/>
      <c r="IXQ30" s="1"/>
      <c r="IXR30" s="1"/>
      <c r="IXS30" s="1"/>
      <c r="IXT30" s="1"/>
      <c r="IXU30" s="1"/>
      <c r="IXV30" s="1"/>
      <c r="IXW30" s="1"/>
      <c r="IXX30" s="1"/>
      <c r="IXY30" s="1"/>
      <c r="IXZ30" s="1"/>
      <c r="IYA30" s="1"/>
      <c r="IYB30" s="1"/>
      <c r="IYC30" s="1"/>
      <c r="IYD30" s="1"/>
      <c r="IYE30" s="1"/>
      <c r="IYF30" s="1"/>
      <c r="IYG30" s="1"/>
      <c r="IYH30" s="1"/>
      <c r="IYI30" s="1"/>
      <c r="IYJ30" s="1"/>
      <c r="IYK30" s="1"/>
      <c r="IYL30" s="1"/>
      <c r="IYM30" s="1"/>
      <c r="IYN30" s="1"/>
      <c r="IYO30" s="1"/>
      <c r="IYP30" s="1"/>
      <c r="IYQ30" s="1"/>
      <c r="IYR30" s="1"/>
      <c r="IYS30" s="1"/>
      <c r="IYT30" s="1"/>
      <c r="IYU30" s="1"/>
      <c r="IYV30" s="1"/>
      <c r="IYW30" s="1"/>
      <c r="IYX30" s="1"/>
      <c r="IYY30" s="1"/>
      <c r="IYZ30" s="1"/>
      <c r="IZA30" s="1"/>
      <c r="IZB30" s="1"/>
      <c r="IZC30" s="1"/>
      <c r="IZD30" s="1"/>
      <c r="IZE30" s="1"/>
      <c r="IZF30" s="1"/>
      <c r="IZG30" s="1"/>
      <c r="IZH30" s="1"/>
      <c r="IZI30" s="1"/>
      <c r="IZJ30" s="1"/>
      <c r="IZK30" s="1"/>
      <c r="IZL30" s="1"/>
      <c r="IZM30" s="1"/>
      <c r="IZN30" s="1"/>
      <c r="IZO30" s="1"/>
      <c r="IZP30" s="1"/>
      <c r="IZQ30" s="1"/>
      <c r="IZR30" s="1"/>
      <c r="IZS30" s="1"/>
      <c r="IZT30" s="1"/>
      <c r="IZU30" s="1"/>
      <c r="IZV30" s="1"/>
      <c r="IZW30" s="1"/>
      <c r="IZX30" s="1"/>
      <c r="IZY30" s="1"/>
      <c r="IZZ30" s="1"/>
      <c r="JAA30" s="1"/>
      <c r="JAB30" s="1"/>
      <c r="JAC30" s="1"/>
      <c r="JAD30" s="1"/>
      <c r="JAE30" s="1"/>
      <c r="JAF30" s="1"/>
      <c r="JAG30" s="1"/>
      <c r="JAH30" s="1"/>
      <c r="JAI30" s="1"/>
      <c r="JAJ30" s="1"/>
      <c r="JAK30" s="1"/>
      <c r="JAL30" s="1"/>
      <c r="JAM30" s="1"/>
      <c r="JAN30" s="1"/>
      <c r="JAO30" s="1"/>
      <c r="JAP30" s="1"/>
      <c r="JAQ30" s="1"/>
      <c r="JAR30" s="1"/>
      <c r="JAS30" s="1"/>
      <c r="JAT30" s="1"/>
      <c r="JAU30" s="1"/>
      <c r="JAV30" s="1"/>
      <c r="JAW30" s="1"/>
      <c r="JAX30" s="1"/>
      <c r="JAY30" s="1"/>
      <c r="JAZ30" s="1"/>
      <c r="JBA30" s="1"/>
      <c r="JBB30" s="1"/>
      <c r="JBC30" s="1"/>
      <c r="JBD30" s="1"/>
      <c r="JBE30" s="1"/>
      <c r="JBF30" s="1"/>
      <c r="JBG30" s="1"/>
      <c r="JBH30" s="1"/>
      <c r="JBI30" s="1"/>
      <c r="JBJ30" s="1"/>
      <c r="JBK30" s="1"/>
      <c r="JBL30" s="1"/>
      <c r="JBM30" s="1"/>
      <c r="JBN30" s="1"/>
      <c r="JBO30" s="1"/>
      <c r="JBP30" s="1"/>
      <c r="JBQ30" s="1"/>
      <c r="JBR30" s="1"/>
      <c r="JBS30" s="1"/>
      <c r="JBT30" s="1"/>
      <c r="JBU30" s="1"/>
      <c r="JBV30" s="1"/>
      <c r="JBW30" s="1"/>
      <c r="JBX30" s="1"/>
      <c r="JBY30" s="1"/>
      <c r="JBZ30" s="1"/>
      <c r="JCA30" s="1"/>
      <c r="JCB30" s="1"/>
      <c r="JCC30" s="1"/>
      <c r="JCD30" s="1"/>
      <c r="JCE30" s="1"/>
      <c r="JCF30" s="1"/>
      <c r="JCG30" s="1"/>
      <c r="JCH30" s="1"/>
      <c r="JCI30" s="1"/>
      <c r="JCJ30" s="1"/>
      <c r="JCK30" s="1"/>
      <c r="JCL30" s="1"/>
      <c r="JCM30" s="1"/>
      <c r="JCN30" s="1"/>
      <c r="JCO30" s="1"/>
      <c r="JCP30" s="1"/>
      <c r="JCQ30" s="1"/>
      <c r="JCR30" s="1"/>
      <c r="JCS30" s="1"/>
      <c r="JCT30" s="1"/>
      <c r="JCU30" s="1"/>
      <c r="JCV30" s="1"/>
      <c r="JCW30" s="1"/>
      <c r="JCX30" s="1"/>
      <c r="JCY30" s="1"/>
      <c r="JCZ30" s="1"/>
      <c r="JDA30" s="1"/>
      <c r="JDB30" s="1"/>
      <c r="JDC30" s="1"/>
      <c r="JDD30" s="1"/>
      <c r="JDE30" s="1"/>
      <c r="JDF30" s="1"/>
      <c r="JDG30" s="1"/>
      <c r="JDH30" s="1"/>
      <c r="JDI30" s="1"/>
      <c r="JDJ30" s="1"/>
      <c r="JDK30" s="1"/>
      <c r="JDL30" s="1"/>
      <c r="JDM30" s="1"/>
      <c r="JDN30" s="1"/>
      <c r="JDO30" s="1"/>
      <c r="JDP30" s="1"/>
      <c r="JDQ30" s="1"/>
      <c r="JDR30" s="1"/>
      <c r="JDS30" s="1"/>
      <c r="JDT30" s="1"/>
      <c r="JDU30" s="1"/>
      <c r="JDV30" s="1"/>
      <c r="JDW30" s="1"/>
      <c r="JDX30" s="1"/>
      <c r="JDY30" s="1"/>
      <c r="JDZ30" s="1"/>
      <c r="JEA30" s="1"/>
      <c r="JEB30" s="1"/>
      <c r="JEC30" s="1"/>
      <c r="JED30" s="1"/>
      <c r="JEE30" s="1"/>
      <c r="JEF30" s="1"/>
      <c r="JEG30" s="1"/>
      <c r="JEH30" s="1"/>
      <c r="JEI30" s="1"/>
      <c r="JEJ30" s="1"/>
      <c r="JEK30" s="1"/>
      <c r="JEL30" s="1"/>
      <c r="JEM30" s="1"/>
      <c r="JEN30" s="1"/>
      <c r="JEO30" s="1"/>
      <c r="JEP30" s="1"/>
      <c r="JEQ30" s="1"/>
      <c r="JER30" s="1"/>
      <c r="JES30" s="1"/>
      <c r="JET30" s="1"/>
      <c r="JEU30" s="1"/>
      <c r="JEV30" s="1"/>
      <c r="JEW30" s="1"/>
      <c r="JEX30" s="1"/>
      <c r="JEY30" s="1"/>
      <c r="JEZ30" s="1"/>
      <c r="JFA30" s="1"/>
      <c r="JFB30" s="1"/>
      <c r="JFC30" s="1"/>
      <c r="JFD30" s="1"/>
      <c r="JFE30" s="1"/>
      <c r="JFF30" s="1"/>
      <c r="JFG30" s="1"/>
      <c r="JFH30" s="1"/>
      <c r="JFI30" s="1"/>
      <c r="JFJ30" s="1"/>
      <c r="JFK30" s="1"/>
      <c r="JFL30" s="1"/>
      <c r="JFM30" s="1"/>
      <c r="JFN30" s="1"/>
      <c r="JFO30" s="1"/>
      <c r="JFP30" s="1"/>
      <c r="JFQ30" s="1"/>
      <c r="JFR30" s="1"/>
      <c r="JFS30" s="1"/>
      <c r="JFT30" s="1"/>
      <c r="JFU30" s="1"/>
      <c r="JFV30" s="1"/>
      <c r="JFW30" s="1"/>
      <c r="JFX30" s="1"/>
      <c r="JFY30" s="1"/>
      <c r="JFZ30" s="1"/>
      <c r="JGA30" s="1"/>
      <c r="JGB30" s="1"/>
      <c r="JGC30" s="1"/>
      <c r="JGD30" s="1"/>
      <c r="JGE30" s="1"/>
      <c r="JGF30" s="1"/>
      <c r="JGG30" s="1"/>
      <c r="JGH30" s="1"/>
      <c r="JGI30" s="1"/>
      <c r="JGJ30" s="1"/>
      <c r="JGK30" s="1"/>
      <c r="JGL30" s="1"/>
      <c r="JGM30" s="1"/>
      <c r="JGN30" s="1"/>
      <c r="JGO30" s="1"/>
      <c r="JGP30" s="1"/>
      <c r="JGQ30" s="1"/>
      <c r="JGR30" s="1"/>
      <c r="JGS30" s="1"/>
      <c r="JGT30" s="1"/>
      <c r="JGU30" s="1"/>
      <c r="JGV30" s="1"/>
      <c r="JGW30" s="1"/>
      <c r="JGX30" s="1"/>
      <c r="JGY30" s="1"/>
      <c r="JGZ30" s="1"/>
      <c r="JHA30" s="1"/>
      <c r="JHB30" s="1"/>
      <c r="JHC30" s="1"/>
      <c r="JHD30" s="1"/>
      <c r="JHE30" s="1"/>
      <c r="JHF30" s="1"/>
      <c r="JHG30" s="1"/>
      <c r="JHH30" s="1"/>
      <c r="JHI30" s="1"/>
      <c r="JHJ30" s="1"/>
      <c r="JHK30" s="1"/>
      <c r="JHL30" s="1"/>
      <c r="JHM30" s="1"/>
      <c r="JHN30" s="1"/>
      <c r="JHO30" s="1"/>
      <c r="JHP30" s="1"/>
      <c r="JHQ30" s="1"/>
      <c r="JHR30" s="1"/>
      <c r="JHS30" s="1"/>
      <c r="JHT30" s="1"/>
      <c r="JHU30" s="1"/>
      <c r="JHV30" s="1"/>
      <c r="JHW30" s="1"/>
      <c r="JHX30" s="1"/>
      <c r="JHY30" s="1"/>
      <c r="JHZ30" s="1"/>
      <c r="JIA30" s="1"/>
      <c r="JIB30" s="1"/>
      <c r="JIC30" s="1"/>
      <c r="JID30" s="1"/>
      <c r="JIE30" s="1"/>
      <c r="JIF30" s="1"/>
      <c r="JIG30" s="1"/>
      <c r="JIH30" s="1"/>
      <c r="JII30" s="1"/>
      <c r="JIJ30" s="1"/>
      <c r="JIK30" s="1"/>
      <c r="JIL30" s="1"/>
      <c r="JIM30" s="1"/>
      <c r="JIN30" s="1"/>
      <c r="JIO30" s="1"/>
      <c r="JIP30" s="1"/>
      <c r="JIQ30" s="1"/>
      <c r="JIR30" s="1"/>
      <c r="JIS30" s="1"/>
      <c r="JIT30" s="1"/>
      <c r="JIU30" s="1"/>
      <c r="JIV30" s="1"/>
      <c r="JIW30" s="1"/>
      <c r="JIX30" s="1"/>
      <c r="JIY30" s="1"/>
      <c r="JIZ30" s="1"/>
      <c r="JJA30" s="1"/>
      <c r="JJB30" s="1"/>
      <c r="JJC30" s="1"/>
      <c r="JJD30" s="1"/>
      <c r="JJE30" s="1"/>
      <c r="JJF30" s="1"/>
      <c r="JJG30" s="1"/>
      <c r="JJH30" s="1"/>
      <c r="JJI30" s="1"/>
      <c r="JJJ30" s="1"/>
      <c r="JJK30" s="1"/>
      <c r="JJL30" s="1"/>
      <c r="JJM30" s="1"/>
      <c r="JJN30" s="1"/>
      <c r="JJO30" s="1"/>
      <c r="JJP30" s="1"/>
      <c r="JJQ30" s="1"/>
      <c r="JJR30" s="1"/>
      <c r="JJS30" s="1"/>
      <c r="JJT30" s="1"/>
      <c r="JJU30" s="1"/>
      <c r="JJV30" s="1"/>
      <c r="JJW30" s="1"/>
      <c r="JJX30" s="1"/>
      <c r="JJY30" s="1"/>
      <c r="JJZ30" s="1"/>
      <c r="JKA30" s="1"/>
      <c r="JKB30" s="1"/>
      <c r="JKC30" s="1"/>
      <c r="JKD30" s="1"/>
      <c r="JKE30" s="1"/>
      <c r="JKF30" s="1"/>
      <c r="JKG30" s="1"/>
      <c r="JKH30" s="1"/>
      <c r="JKI30" s="1"/>
      <c r="JKJ30" s="1"/>
      <c r="JKK30" s="1"/>
      <c r="JKL30" s="1"/>
      <c r="JKM30" s="1"/>
      <c r="JKN30" s="1"/>
      <c r="JKO30" s="1"/>
      <c r="JKP30" s="1"/>
      <c r="JKQ30" s="1"/>
      <c r="JKR30" s="1"/>
      <c r="JKS30" s="1"/>
      <c r="JKT30" s="1"/>
      <c r="JKU30" s="1"/>
      <c r="JKV30" s="1"/>
      <c r="JKW30" s="1"/>
      <c r="JKX30" s="1"/>
      <c r="JKY30" s="1"/>
      <c r="JKZ30" s="1"/>
      <c r="JLA30" s="1"/>
      <c r="JLB30" s="1"/>
      <c r="JLC30" s="1"/>
      <c r="JLD30" s="1"/>
      <c r="JLE30" s="1"/>
      <c r="JLF30" s="1"/>
      <c r="JLG30" s="1"/>
      <c r="JLH30" s="1"/>
      <c r="JLI30" s="1"/>
      <c r="JLJ30" s="1"/>
      <c r="JLK30" s="1"/>
      <c r="JLL30" s="1"/>
      <c r="JLM30" s="1"/>
      <c r="JLN30" s="1"/>
      <c r="JLO30" s="1"/>
      <c r="JLP30" s="1"/>
      <c r="JLQ30" s="1"/>
      <c r="JLR30" s="1"/>
      <c r="JLS30" s="1"/>
      <c r="JLT30" s="1"/>
      <c r="JLU30" s="1"/>
      <c r="JLV30" s="1"/>
      <c r="JLW30" s="1"/>
      <c r="JLX30" s="1"/>
      <c r="JLY30" s="1"/>
      <c r="JLZ30" s="1"/>
      <c r="JMA30" s="1"/>
      <c r="JMB30" s="1"/>
      <c r="JMC30" s="1"/>
      <c r="JMD30" s="1"/>
      <c r="JME30" s="1"/>
      <c r="JMF30" s="1"/>
      <c r="JMG30" s="1"/>
      <c r="JMH30" s="1"/>
      <c r="JMI30" s="1"/>
      <c r="JMJ30" s="1"/>
      <c r="JMK30" s="1"/>
      <c r="JML30" s="1"/>
      <c r="JMM30" s="1"/>
      <c r="JMN30" s="1"/>
      <c r="JMO30" s="1"/>
      <c r="JMP30" s="1"/>
      <c r="JMQ30" s="1"/>
      <c r="JMR30" s="1"/>
      <c r="JMS30" s="1"/>
      <c r="JMT30" s="1"/>
      <c r="JMU30" s="1"/>
      <c r="JMV30" s="1"/>
      <c r="JMW30" s="1"/>
      <c r="JMX30" s="1"/>
      <c r="JMY30" s="1"/>
      <c r="JMZ30" s="1"/>
      <c r="JNA30" s="1"/>
      <c r="JNB30" s="1"/>
      <c r="JNC30" s="1"/>
      <c r="JND30" s="1"/>
      <c r="JNE30" s="1"/>
      <c r="JNF30" s="1"/>
      <c r="JNG30" s="1"/>
      <c r="JNH30" s="1"/>
      <c r="JNI30" s="1"/>
      <c r="JNJ30" s="1"/>
      <c r="JNK30" s="1"/>
      <c r="JNL30" s="1"/>
      <c r="JNM30" s="1"/>
      <c r="JNN30" s="1"/>
      <c r="JNO30" s="1"/>
      <c r="JNP30" s="1"/>
      <c r="JNQ30" s="1"/>
      <c r="JNR30" s="1"/>
      <c r="JNS30" s="1"/>
      <c r="JNT30" s="1"/>
      <c r="JNU30" s="1"/>
      <c r="JNV30" s="1"/>
      <c r="JNW30" s="1"/>
      <c r="JNX30" s="1"/>
      <c r="JNY30" s="1"/>
      <c r="JNZ30" s="1"/>
      <c r="JOA30" s="1"/>
      <c r="JOB30" s="1"/>
      <c r="JOC30" s="1"/>
      <c r="JOD30" s="1"/>
      <c r="JOE30" s="1"/>
      <c r="JOF30" s="1"/>
      <c r="JOG30" s="1"/>
      <c r="JOH30" s="1"/>
      <c r="JOI30" s="1"/>
      <c r="JOJ30" s="1"/>
      <c r="JOK30" s="1"/>
      <c r="JOL30" s="1"/>
      <c r="JOM30" s="1"/>
      <c r="JON30" s="1"/>
      <c r="JOO30" s="1"/>
      <c r="JOP30" s="1"/>
      <c r="JOQ30" s="1"/>
      <c r="JOR30" s="1"/>
      <c r="JOS30" s="1"/>
      <c r="JOT30" s="1"/>
      <c r="JOU30" s="1"/>
      <c r="JOV30" s="1"/>
      <c r="JOW30" s="1"/>
      <c r="JOX30" s="1"/>
      <c r="JOY30" s="1"/>
      <c r="JOZ30" s="1"/>
      <c r="JPA30" s="1"/>
      <c r="JPB30" s="1"/>
      <c r="JPC30" s="1"/>
      <c r="JPD30" s="1"/>
      <c r="JPE30" s="1"/>
      <c r="JPF30" s="1"/>
      <c r="JPG30" s="1"/>
      <c r="JPH30" s="1"/>
      <c r="JPI30" s="1"/>
      <c r="JPJ30" s="1"/>
      <c r="JPK30" s="1"/>
      <c r="JPL30" s="1"/>
      <c r="JPM30" s="1"/>
      <c r="JPN30" s="1"/>
      <c r="JPO30" s="1"/>
      <c r="JPP30" s="1"/>
      <c r="JPQ30" s="1"/>
      <c r="JPR30" s="1"/>
      <c r="JPS30" s="1"/>
      <c r="JPT30" s="1"/>
      <c r="JPU30" s="1"/>
      <c r="JPV30" s="1"/>
      <c r="JPW30" s="1"/>
      <c r="JPX30" s="1"/>
      <c r="JPY30" s="1"/>
      <c r="JPZ30" s="1"/>
      <c r="JQA30" s="1"/>
      <c r="JQB30" s="1"/>
      <c r="JQC30" s="1"/>
      <c r="JQD30" s="1"/>
      <c r="JQE30" s="1"/>
      <c r="JQF30" s="1"/>
      <c r="JQG30" s="1"/>
      <c r="JQH30" s="1"/>
      <c r="JQI30" s="1"/>
      <c r="JQJ30" s="1"/>
      <c r="JQK30" s="1"/>
      <c r="JQL30" s="1"/>
      <c r="JQM30" s="1"/>
      <c r="JQN30" s="1"/>
      <c r="JQO30" s="1"/>
      <c r="JQP30" s="1"/>
      <c r="JQQ30" s="1"/>
      <c r="JQR30" s="1"/>
      <c r="JQS30" s="1"/>
      <c r="JQT30" s="1"/>
      <c r="JQU30" s="1"/>
      <c r="JQV30" s="1"/>
      <c r="JQW30" s="1"/>
      <c r="JQX30" s="1"/>
      <c r="JQY30" s="1"/>
      <c r="JQZ30" s="1"/>
      <c r="JRA30" s="1"/>
      <c r="JRB30" s="1"/>
      <c r="JRC30" s="1"/>
      <c r="JRD30" s="1"/>
      <c r="JRE30" s="1"/>
      <c r="JRF30" s="1"/>
      <c r="JRG30" s="1"/>
      <c r="JRH30" s="1"/>
      <c r="JRI30" s="1"/>
      <c r="JRJ30" s="1"/>
      <c r="JRK30" s="1"/>
      <c r="JRL30" s="1"/>
      <c r="JRM30" s="1"/>
      <c r="JRN30" s="1"/>
      <c r="JRO30" s="1"/>
      <c r="JRP30" s="1"/>
      <c r="JRQ30" s="1"/>
      <c r="JRR30" s="1"/>
      <c r="JRS30" s="1"/>
      <c r="JRT30" s="1"/>
      <c r="JRU30" s="1"/>
      <c r="JRV30" s="1"/>
      <c r="JRW30" s="1"/>
      <c r="JRX30" s="1"/>
      <c r="JRY30" s="1"/>
      <c r="JRZ30" s="1"/>
      <c r="JSA30" s="1"/>
      <c r="JSB30" s="1"/>
      <c r="JSC30" s="1"/>
      <c r="JSD30" s="1"/>
      <c r="JSE30" s="1"/>
      <c r="JSF30" s="1"/>
      <c r="JSG30" s="1"/>
      <c r="JSH30" s="1"/>
      <c r="JSI30" s="1"/>
      <c r="JSJ30" s="1"/>
      <c r="JSK30" s="1"/>
      <c r="JSL30" s="1"/>
      <c r="JSM30" s="1"/>
      <c r="JSN30" s="1"/>
      <c r="JSO30" s="1"/>
      <c r="JSP30" s="1"/>
      <c r="JSQ30" s="1"/>
      <c r="JSR30" s="1"/>
      <c r="JSS30" s="1"/>
      <c r="JST30" s="1"/>
      <c r="JSU30" s="1"/>
      <c r="JSV30" s="1"/>
      <c r="JSW30" s="1"/>
      <c r="JSX30" s="1"/>
      <c r="JSY30" s="1"/>
      <c r="JSZ30" s="1"/>
      <c r="JTA30" s="1"/>
      <c r="JTB30" s="1"/>
      <c r="JTC30" s="1"/>
      <c r="JTD30" s="1"/>
      <c r="JTE30" s="1"/>
      <c r="JTF30" s="1"/>
      <c r="JTG30" s="1"/>
      <c r="JTH30" s="1"/>
      <c r="JTI30" s="1"/>
      <c r="JTJ30" s="1"/>
      <c r="JTK30" s="1"/>
      <c r="JTL30" s="1"/>
      <c r="JTM30" s="1"/>
      <c r="JTN30" s="1"/>
      <c r="JTO30" s="1"/>
      <c r="JTP30" s="1"/>
      <c r="JTQ30" s="1"/>
      <c r="JTR30" s="1"/>
      <c r="JTS30" s="1"/>
      <c r="JTT30" s="1"/>
      <c r="JTU30" s="1"/>
      <c r="JTV30" s="1"/>
      <c r="JTW30" s="1"/>
      <c r="JTX30" s="1"/>
      <c r="JTY30" s="1"/>
      <c r="JTZ30" s="1"/>
      <c r="JUA30" s="1"/>
      <c r="JUB30" s="1"/>
      <c r="JUC30" s="1"/>
      <c r="JUD30" s="1"/>
      <c r="JUE30" s="1"/>
      <c r="JUF30" s="1"/>
      <c r="JUG30" s="1"/>
      <c r="JUH30" s="1"/>
      <c r="JUI30" s="1"/>
      <c r="JUJ30" s="1"/>
      <c r="JUK30" s="1"/>
      <c r="JUL30" s="1"/>
      <c r="JUM30" s="1"/>
      <c r="JUN30" s="1"/>
      <c r="JUO30" s="1"/>
      <c r="JUP30" s="1"/>
      <c r="JUQ30" s="1"/>
      <c r="JUR30" s="1"/>
      <c r="JUS30" s="1"/>
      <c r="JUT30" s="1"/>
      <c r="JUU30" s="1"/>
      <c r="JUV30" s="1"/>
      <c r="JUW30" s="1"/>
      <c r="JUX30" s="1"/>
      <c r="JUY30" s="1"/>
      <c r="JUZ30" s="1"/>
      <c r="JVA30" s="1"/>
      <c r="JVB30" s="1"/>
      <c r="JVC30" s="1"/>
      <c r="JVD30" s="1"/>
      <c r="JVE30" s="1"/>
      <c r="JVF30" s="1"/>
      <c r="JVG30" s="1"/>
      <c r="JVH30" s="1"/>
      <c r="JVI30" s="1"/>
      <c r="JVJ30" s="1"/>
      <c r="JVK30" s="1"/>
      <c r="JVL30" s="1"/>
      <c r="JVM30" s="1"/>
      <c r="JVN30" s="1"/>
      <c r="JVO30" s="1"/>
      <c r="JVP30" s="1"/>
      <c r="JVQ30" s="1"/>
      <c r="JVR30" s="1"/>
      <c r="JVS30" s="1"/>
      <c r="JVT30" s="1"/>
      <c r="JVU30" s="1"/>
      <c r="JVV30" s="1"/>
      <c r="JVW30" s="1"/>
      <c r="JVX30" s="1"/>
      <c r="JVY30" s="1"/>
      <c r="JVZ30" s="1"/>
      <c r="JWA30" s="1"/>
      <c r="JWB30" s="1"/>
      <c r="JWC30" s="1"/>
      <c r="JWD30" s="1"/>
      <c r="JWE30" s="1"/>
      <c r="JWF30" s="1"/>
      <c r="JWG30" s="1"/>
      <c r="JWH30" s="1"/>
      <c r="JWI30" s="1"/>
      <c r="JWJ30" s="1"/>
      <c r="JWK30" s="1"/>
      <c r="JWL30" s="1"/>
      <c r="JWM30" s="1"/>
      <c r="JWN30" s="1"/>
      <c r="JWO30" s="1"/>
      <c r="JWP30" s="1"/>
      <c r="JWQ30" s="1"/>
      <c r="JWR30" s="1"/>
      <c r="JWS30" s="1"/>
      <c r="JWT30" s="1"/>
      <c r="JWU30" s="1"/>
      <c r="JWV30" s="1"/>
      <c r="JWW30" s="1"/>
      <c r="JWX30" s="1"/>
      <c r="JWY30" s="1"/>
      <c r="JWZ30" s="1"/>
      <c r="JXA30" s="1"/>
      <c r="JXB30" s="1"/>
      <c r="JXC30" s="1"/>
      <c r="JXD30" s="1"/>
      <c r="JXE30" s="1"/>
      <c r="JXF30" s="1"/>
      <c r="JXG30" s="1"/>
      <c r="JXH30" s="1"/>
      <c r="JXI30" s="1"/>
      <c r="JXJ30" s="1"/>
      <c r="JXK30" s="1"/>
      <c r="JXL30" s="1"/>
      <c r="JXM30" s="1"/>
      <c r="JXN30" s="1"/>
      <c r="JXO30" s="1"/>
      <c r="JXP30" s="1"/>
      <c r="JXQ30" s="1"/>
      <c r="JXR30" s="1"/>
      <c r="JXS30" s="1"/>
      <c r="JXT30" s="1"/>
      <c r="JXU30" s="1"/>
      <c r="JXV30" s="1"/>
      <c r="JXW30" s="1"/>
      <c r="JXX30" s="1"/>
      <c r="JXY30" s="1"/>
      <c r="JXZ30" s="1"/>
      <c r="JYA30" s="1"/>
      <c r="JYB30" s="1"/>
      <c r="JYC30" s="1"/>
      <c r="JYD30" s="1"/>
      <c r="JYE30" s="1"/>
      <c r="JYF30" s="1"/>
      <c r="JYG30" s="1"/>
      <c r="JYH30" s="1"/>
      <c r="JYI30" s="1"/>
      <c r="JYJ30" s="1"/>
      <c r="JYK30" s="1"/>
      <c r="JYL30" s="1"/>
      <c r="JYM30" s="1"/>
      <c r="JYN30" s="1"/>
      <c r="JYO30" s="1"/>
      <c r="JYP30" s="1"/>
      <c r="JYQ30" s="1"/>
      <c r="JYR30" s="1"/>
      <c r="JYS30" s="1"/>
      <c r="JYT30" s="1"/>
      <c r="JYU30" s="1"/>
      <c r="JYV30" s="1"/>
      <c r="JYW30" s="1"/>
      <c r="JYX30" s="1"/>
      <c r="JYY30" s="1"/>
      <c r="JYZ30" s="1"/>
      <c r="JZA30" s="1"/>
      <c r="JZB30" s="1"/>
      <c r="JZC30" s="1"/>
      <c r="JZD30" s="1"/>
      <c r="JZE30" s="1"/>
      <c r="JZF30" s="1"/>
      <c r="JZG30" s="1"/>
      <c r="JZH30" s="1"/>
      <c r="JZI30" s="1"/>
      <c r="JZJ30" s="1"/>
      <c r="JZK30" s="1"/>
      <c r="JZL30" s="1"/>
      <c r="JZM30" s="1"/>
      <c r="JZN30" s="1"/>
      <c r="JZO30" s="1"/>
      <c r="JZP30" s="1"/>
      <c r="JZQ30" s="1"/>
      <c r="JZR30" s="1"/>
      <c r="JZS30" s="1"/>
      <c r="JZT30" s="1"/>
      <c r="JZU30" s="1"/>
      <c r="JZV30" s="1"/>
      <c r="JZW30" s="1"/>
      <c r="JZX30" s="1"/>
      <c r="JZY30" s="1"/>
      <c r="JZZ30" s="1"/>
      <c r="KAA30" s="1"/>
      <c r="KAB30" s="1"/>
      <c r="KAC30" s="1"/>
      <c r="KAD30" s="1"/>
      <c r="KAE30" s="1"/>
      <c r="KAF30" s="1"/>
      <c r="KAG30" s="1"/>
      <c r="KAH30" s="1"/>
      <c r="KAI30" s="1"/>
      <c r="KAJ30" s="1"/>
      <c r="KAK30" s="1"/>
      <c r="KAL30" s="1"/>
      <c r="KAM30" s="1"/>
      <c r="KAN30" s="1"/>
      <c r="KAO30" s="1"/>
      <c r="KAP30" s="1"/>
      <c r="KAQ30" s="1"/>
      <c r="KAR30" s="1"/>
      <c r="KAS30" s="1"/>
      <c r="KAT30" s="1"/>
      <c r="KAU30" s="1"/>
      <c r="KAV30" s="1"/>
      <c r="KAW30" s="1"/>
      <c r="KAX30" s="1"/>
      <c r="KAY30" s="1"/>
      <c r="KAZ30" s="1"/>
      <c r="KBA30" s="1"/>
      <c r="KBB30" s="1"/>
      <c r="KBC30" s="1"/>
      <c r="KBD30" s="1"/>
      <c r="KBE30" s="1"/>
      <c r="KBF30" s="1"/>
      <c r="KBG30" s="1"/>
      <c r="KBH30" s="1"/>
      <c r="KBI30" s="1"/>
      <c r="KBJ30" s="1"/>
      <c r="KBK30" s="1"/>
      <c r="KBL30" s="1"/>
      <c r="KBM30" s="1"/>
      <c r="KBN30" s="1"/>
      <c r="KBO30" s="1"/>
      <c r="KBP30" s="1"/>
      <c r="KBQ30" s="1"/>
      <c r="KBR30" s="1"/>
      <c r="KBS30" s="1"/>
      <c r="KBT30" s="1"/>
      <c r="KBU30" s="1"/>
      <c r="KBV30" s="1"/>
      <c r="KBW30" s="1"/>
      <c r="KBX30" s="1"/>
      <c r="KBY30" s="1"/>
      <c r="KBZ30" s="1"/>
      <c r="KCA30" s="1"/>
      <c r="KCB30" s="1"/>
      <c r="KCC30" s="1"/>
      <c r="KCD30" s="1"/>
      <c r="KCE30" s="1"/>
      <c r="KCF30" s="1"/>
      <c r="KCG30" s="1"/>
      <c r="KCH30" s="1"/>
      <c r="KCI30" s="1"/>
      <c r="KCJ30" s="1"/>
      <c r="KCK30" s="1"/>
      <c r="KCL30" s="1"/>
      <c r="KCM30" s="1"/>
      <c r="KCN30" s="1"/>
      <c r="KCO30" s="1"/>
      <c r="KCP30" s="1"/>
      <c r="KCQ30" s="1"/>
      <c r="KCR30" s="1"/>
      <c r="KCS30" s="1"/>
      <c r="KCT30" s="1"/>
      <c r="KCU30" s="1"/>
      <c r="KCV30" s="1"/>
      <c r="KCW30" s="1"/>
      <c r="KCX30" s="1"/>
      <c r="KCY30" s="1"/>
      <c r="KCZ30" s="1"/>
      <c r="KDA30" s="1"/>
      <c r="KDB30" s="1"/>
      <c r="KDC30" s="1"/>
      <c r="KDD30" s="1"/>
      <c r="KDE30" s="1"/>
      <c r="KDF30" s="1"/>
      <c r="KDG30" s="1"/>
      <c r="KDH30" s="1"/>
      <c r="KDI30" s="1"/>
      <c r="KDJ30" s="1"/>
      <c r="KDK30" s="1"/>
      <c r="KDL30" s="1"/>
      <c r="KDM30" s="1"/>
      <c r="KDN30" s="1"/>
      <c r="KDO30" s="1"/>
      <c r="KDP30" s="1"/>
      <c r="KDQ30" s="1"/>
      <c r="KDR30" s="1"/>
      <c r="KDS30" s="1"/>
      <c r="KDT30" s="1"/>
      <c r="KDU30" s="1"/>
      <c r="KDV30" s="1"/>
      <c r="KDW30" s="1"/>
      <c r="KDX30" s="1"/>
      <c r="KDY30" s="1"/>
      <c r="KDZ30" s="1"/>
      <c r="KEA30" s="1"/>
      <c r="KEB30" s="1"/>
      <c r="KEC30" s="1"/>
      <c r="KED30" s="1"/>
      <c r="KEE30" s="1"/>
      <c r="KEF30" s="1"/>
      <c r="KEG30" s="1"/>
      <c r="KEH30" s="1"/>
      <c r="KEI30" s="1"/>
      <c r="KEJ30" s="1"/>
      <c r="KEK30" s="1"/>
      <c r="KEL30" s="1"/>
      <c r="KEM30" s="1"/>
      <c r="KEN30" s="1"/>
      <c r="KEO30" s="1"/>
      <c r="KEP30" s="1"/>
      <c r="KEQ30" s="1"/>
      <c r="KER30" s="1"/>
      <c r="KES30" s="1"/>
      <c r="KET30" s="1"/>
      <c r="KEU30" s="1"/>
      <c r="KEV30" s="1"/>
      <c r="KEW30" s="1"/>
      <c r="KEX30" s="1"/>
      <c r="KEY30" s="1"/>
      <c r="KEZ30" s="1"/>
      <c r="KFA30" s="1"/>
      <c r="KFB30" s="1"/>
      <c r="KFC30" s="1"/>
      <c r="KFD30" s="1"/>
      <c r="KFE30" s="1"/>
      <c r="KFF30" s="1"/>
      <c r="KFG30" s="1"/>
      <c r="KFH30" s="1"/>
      <c r="KFI30" s="1"/>
      <c r="KFJ30" s="1"/>
      <c r="KFK30" s="1"/>
      <c r="KFL30" s="1"/>
      <c r="KFM30" s="1"/>
      <c r="KFN30" s="1"/>
      <c r="KFO30" s="1"/>
      <c r="KFP30" s="1"/>
      <c r="KFQ30" s="1"/>
      <c r="KFR30" s="1"/>
      <c r="KFS30" s="1"/>
      <c r="KFT30" s="1"/>
      <c r="KFU30" s="1"/>
      <c r="KFV30" s="1"/>
      <c r="KFW30" s="1"/>
      <c r="KFX30" s="1"/>
      <c r="KFY30" s="1"/>
      <c r="KFZ30" s="1"/>
      <c r="KGA30" s="1"/>
      <c r="KGB30" s="1"/>
      <c r="KGC30" s="1"/>
      <c r="KGD30" s="1"/>
      <c r="KGE30" s="1"/>
      <c r="KGF30" s="1"/>
      <c r="KGG30" s="1"/>
      <c r="KGH30" s="1"/>
      <c r="KGI30" s="1"/>
      <c r="KGJ30" s="1"/>
      <c r="KGK30" s="1"/>
      <c r="KGL30" s="1"/>
      <c r="KGM30" s="1"/>
      <c r="KGN30" s="1"/>
      <c r="KGO30" s="1"/>
      <c r="KGP30" s="1"/>
      <c r="KGQ30" s="1"/>
      <c r="KGR30" s="1"/>
      <c r="KGS30" s="1"/>
      <c r="KGT30" s="1"/>
      <c r="KGU30" s="1"/>
      <c r="KGV30" s="1"/>
      <c r="KGW30" s="1"/>
      <c r="KGX30" s="1"/>
      <c r="KGY30" s="1"/>
      <c r="KGZ30" s="1"/>
      <c r="KHA30" s="1"/>
      <c r="KHB30" s="1"/>
      <c r="KHC30" s="1"/>
      <c r="KHD30" s="1"/>
      <c r="KHE30" s="1"/>
      <c r="KHF30" s="1"/>
      <c r="KHG30" s="1"/>
      <c r="KHH30" s="1"/>
      <c r="KHI30" s="1"/>
      <c r="KHJ30" s="1"/>
      <c r="KHK30" s="1"/>
      <c r="KHL30" s="1"/>
      <c r="KHM30" s="1"/>
      <c r="KHN30" s="1"/>
      <c r="KHO30" s="1"/>
      <c r="KHP30" s="1"/>
      <c r="KHQ30" s="1"/>
      <c r="KHR30" s="1"/>
      <c r="KHS30" s="1"/>
      <c r="KHT30" s="1"/>
      <c r="KHU30" s="1"/>
      <c r="KHV30" s="1"/>
      <c r="KHW30" s="1"/>
      <c r="KHX30" s="1"/>
      <c r="KHY30" s="1"/>
      <c r="KHZ30" s="1"/>
      <c r="KIA30" s="1"/>
      <c r="KIB30" s="1"/>
      <c r="KIC30" s="1"/>
      <c r="KID30" s="1"/>
      <c r="KIE30" s="1"/>
      <c r="KIF30" s="1"/>
      <c r="KIG30" s="1"/>
      <c r="KIH30" s="1"/>
      <c r="KII30" s="1"/>
      <c r="KIJ30" s="1"/>
      <c r="KIK30" s="1"/>
      <c r="KIL30" s="1"/>
      <c r="KIM30" s="1"/>
      <c r="KIN30" s="1"/>
      <c r="KIO30" s="1"/>
      <c r="KIP30" s="1"/>
      <c r="KIQ30" s="1"/>
      <c r="KIR30" s="1"/>
      <c r="KIS30" s="1"/>
      <c r="KIT30" s="1"/>
      <c r="KIU30" s="1"/>
      <c r="KIV30" s="1"/>
      <c r="KIW30" s="1"/>
      <c r="KIX30" s="1"/>
      <c r="KIY30" s="1"/>
      <c r="KIZ30" s="1"/>
      <c r="KJA30" s="1"/>
      <c r="KJB30" s="1"/>
      <c r="KJC30" s="1"/>
      <c r="KJD30" s="1"/>
      <c r="KJE30" s="1"/>
      <c r="KJF30" s="1"/>
      <c r="KJG30" s="1"/>
      <c r="KJH30" s="1"/>
      <c r="KJI30" s="1"/>
      <c r="KJJ30" s="1"/>
      <c r="KJK30" s="1"/>
      <c r="KJL30" s="1"/>
      <c r="KJM30" s="1"/>
      <c r="KJN30" s="1"/>
      <c r="KJO30" s="1"/>
      <c r="KJP30" s="1"/>
      <c r="KJQ30" s="1"/>
      <c r="KJR30" s="1"/>
      <c r="KJS30" s="1"/>
      <c r="KJT30" s="1"/>
      <c r="KJU30" s="1"/>
      <c r="KJV30" s="1"/>
      <c r="KJW30" s="1"/>
      <c r="KJX30" s="1"/>
      <c r="KJY30" s="1"/>
      <c r="KJZ30" s="1"/>
      <c r="KKA30" s="1"/>
      <c r="KKB30" s="1"/>
      <c r="KKC30" s="1"/>
      <c r="KKD30" s="1"/>
      <c r="KKE30" s="1"/>
      <c r="KKF30" s="1"/>
      <c r="KKG30" s="1"/>
      <c r="KKH30" s="1"/>
      <c r="KKI30" s="1"/>
      <c r="KKJ30" s="1"/>
      <c r="KKK30" s="1"/>
      <c r="KKL30" s="1"/>
      <c r="KKM30" s="1"/>
      <c r="KKN30" s="1"/>
      <c r="KKO30" s="1"/>
      <c r="KKP30" s="1"/>
      <c r="KKQ30" s="1"/>
      <c r="KKR30" s="1"/>
      <c r="KKS30" s="1"/>
      <c r="KKT30" s="1"/>
      <c r="KKU30" s="1"/>
      <c r="KKV30" s="1"/>
      <c r="KKW30" s="1"/>
      <c r="KKX30" s="1"/>
      <c r="KKY30" s="1"/>
      <c r="KKZ30" s="1"/>
      <c r="KLA30" s="1"/>
      <c r="KLB30" s="1"/>
      <c r="KLC30" s="1"/>
      <c r="KLD30" s="1"/>
      <c r="KLE30" s="1"/>
      <c r="KLF30" s="1"/>
      <c r="KLG30" s="1"/>
      <c r="KLH30" s="1"/>
      <c r="KLI30" s="1"/>
      <c r="KLJ30" s="1"/>
      <c r="KLK30" s="1"/>
      <c r="KLL30" s="1"/>
      <c r="KLM30" s="1"/>
      <c r="KLN30" s="1"/>
      <c r="KLO30" s="1"/>
      <c r="KLP30" s="1"/>
      <c r="KLQ30" s="1"/>
      <c r="KLR30" s="1"/>
      <c r="KLS30" s="1"/>
      <c r="KLT30" s="1"/>
      <c r="KLU30" s="1"/>
      <c r="KLV30" s="1"/>
      <c r="KLW30" s="1"/>
      <c r="KLX30" s="1"/>
      <c r="KLY30" s="1"/>
      <c r="KLZ30" s="1"/>
      <c r="KMA30" s="1"/>
      <c r="KMB30" s="1"/>
      <c r="KMC30" s="1"/>
      <c r="KMD30" s="1"/>
      <c r="KME30" s="1"/>
      <c r="KMF30" s="1"/>
      <c r="KMG30" s="1"/>
      <c r="KMH30" s="1"/>
      <c r="KMI30" s="1"/>
      <c r="KMJ30" s="1"/>
      <c r="KMK30" s="1"/>
      <c r="KML30" s="1"/>
      <c r="KMM30" s="1"/>
      <c r="KMN30" s="1"/>
      <c r="KMO30" s="1"/>
      <c r="KMP30" s="1"/>
      <c r="KMQ30" s="1"/>
      <c r="KMR30" s="1"/>
      <c r="KMS30" s="1"/>
      <c r="KMT30" s="1"/>
      <c r="KMU30" s="1"/>
      <c r="KMV30" s="1"/>
      <c r="KMW30" s="1"/>
      <c r="KMX30" s="1"/>
      <c r="KMY30" s="1"/>
      <c r="KMZ30" s="1"/>
      <c r="KNA30" s="1"/>
      <c r="KNB30" s="1"/>
      <c r="KNC30" s="1"/>
      <c r="KND30" s="1"/>
      <c r="KNE30" s="1"/>
      <c r="KNF30" s="1"/>
      <c r="KNG30" s="1"/>
      <c r="KNH30" s="1"/>
      <c r="KNI30" s="1"/>
      <c r="KNJ30" s="1"/>
      <c r="KNK30" s="1"/>
      <c r="KNL30" s="1"/>
      <c r="KNM30" s="1"/>
      <c r="KNN30" s="1"/>
      <c r="KNO30" s="1"/>
      <c r="KNP30" s="1"/>
      <c r="KNQ30" s="1"/>
      <c r="KNR30" s="1"/>
      <c r="KNS30" s="1"/>
      <c r="KNT30" s="1"/>
      <c r="KNU30" s="1"/>
      <c r="KNV30" s="1"/>
      <c r="KNW30" s="1"/>
      <c r="KNX30" s="1"/>
      <c r="KNY30" s="1"/>
      <c r="KNZ30" s="1"/>
      <c r="KOA30" s="1"/>
      <c r="KOB30" s="1"/>
      <c r="KOC30" s="1"/>
      <c r="KOD30" s="1"/>
      <c r="KOE30" s="1"/>
      <c r="KOF30" s="1"/>
      <c r="KOG30" s="1"/>
      <c r="KOH30" s="1"/>
      <c r="KOI30" s="1"/>
      <c r="KOJ30" s="1"/>
      <c r="KOK30" s="1"/>
      <c r="KOL30" s="1"/>
      <c r="KOM30" s="1"/>
      <c r="KON30" s="1"/>
      <c r="KOO30" s="1"/>
      <c r="KOP30" s="1"/>
      <c r="KOQ30" s="1"/>
      <c r="KOR30" s="1"/>
      <c r="KOS30" s="1"/>
      <c r="KOT30" s="1"/>
      <c r="KOU30" s="1"/>
      <c r="KOV30" s="1"/>
      <c r="KOW30" s="1"/>
      <c r="KOX30" s="1"/>
      <c r="KOY30" s="1"/>
      <c r="KOZ30" s="1"/>
      <c r="KPA30" s="1"/>
      <c r="KPB30" s="1"/>
      <c r="KPC30" s="1"/>
      <c r="KPD30" s="1"/>
      <c r="KPE30" s="1"/>
      <c r="KPF30" s="1"/>
      <c r="KPG30" s="1"/>
      <c r="KPH30" s="1"/>
      <c r="KPI30" s="1"/>
      <c r="KPJ30" s="1"/>
      <c r="KPK30" s="1"/>
      <c r="KPL30" s="1"/>
      <c r="KPM30" s="1"/>
      <c r="KPN30" s="1"/>
      <c r="KPO30" s="1"/>
      <c r="KPP30" s="1"/>
      <c r="KPQ30" s="1"/>
      <c r="KPR30" s="1"/>
      <c r="KPS30" s="1"/>
      <c r="KPT30" s="1"/>
      <c r="KPU30" s="1"/>
      <c r="KPV30" s="1"/>
      <c r="KPW30" s="1"/>
      <c r="KPX30" s="1"/>
      <c r="KPY30" s="1"/>
      <c r="KPZ30" s="1"/>
      <c r="KQA30" s="1"/>
      <c r="KQB30" s="1"/>
      <c r="KQC30" s="1"/>
      <c r="KQD30" s="1"/>
      <c r="KQE30" s="1"/>
      <c r="KQF30" s="1"/>
      <c r="KQG30" s="1"/>
      <c r="KQH30" s="1"/>
      <c r="KQI30" s="1"/>
      <c r="KQJ30" s="1"/>
      <c r="KQK30" s="1"/>
      <c r="KQL30" s="1"/>
      <c r="KQM30" s="1"/>
      <c r="KQN30" s="1"/>
      <c r="KQO30" s="1"/>
      <c r="KQP30" s="1"/>
      <c r="KQQ30" s="1"/>
      <c r="KQR30" s="1"/>
      <c r="KQS30" s="1"/>
      <c r="KQT30" s="1"/>
      <c r="KQU30" s="1"/>
      <c r="KQV30" s="1"/>
      <c r="KQW30" s="1"/>
      <c r="KQX30" s="1"/>
      <c r="KQY30" s="1"/>
      <c r="KQZ30" s="1"/>
      <c r="KRA30" s="1"/>
      <c r="KRB30" s="1"/>
      <c r="KRC30" s="1"/>
      <c r="KRD30" s="1"/>
      <c r="KRE30" s="1"/>
      <c r="KRF30" s="1"/>
      <c r="KRG30" s="1"/>
      <c r="KRH30" s="1"/>
      <c r="KRI30" s="1"/>
      <c r="KRJ30" s="1"/>
      <c r="KRK30" s="1"/>
      <c r="KRL30" s="1"/>
      <c r="KRM30" s="1"/>
      <c r="KRN30" s="1"/>
      <c r="KRO30" s="1"/>
      <c r="KRP30" s="1"/>
      <c r="KRQ30" s="1"/>
      <c r="KRR30" s="1"/>
      <c r="KRS30" s="1"/>
      <c r="KRT30" s="1"/>
      <c r="KRU30" s="1"/>
      <c r="KRV30" s="1"/>
      <c r="KRW30" s="1"/>
      <c r="KRX30" s="1"/>
      <c r="KRY30" s="1"/>
      <c r="KRZ30" s="1"/>
      <c r="KSA30" s="1"/>
      <c r="KSB30" s="1"/>
      <c r="KSC30" s="1"/>
      <c r="KSD30" s="1"/>
      <c r="KSE30" s="1"/>
      <c r="KSF30" s="1"/>
      <c r="KSG30" s="1"/>
      <c r="KSH30" s="1"/>
      <c r="KSI30" s="1"/>
      <c r="KSJ30" s="1"/>
      <c r="KSK30" s="1"/>
      <c r="KSL30" s="1"/>
      <c r="KSM30" s="1"/>
      <c r="KSN30" s="1"/>
      <c r="KSO30" s="1"/>
      <c r="KSP30" s="1"/>
      <c r="KSQ30" s="1"/>
      <c r="KSR30" s="1"/>
      <c r="KSS30" s="1"/>
      <c r="KST30" s="1"/>
      <c r="KSU30" s="1"/>
      <c r="KSV30" s="1"/>
      <c r="KSW30" s="1"/>
      <c r="KSX30" s="1"/>
      <c r="KSY30" s="1"/>
      <c r="KSZ30" s="1"/>
      <c r="KTA30" s="1"/>
      <c r="KTB30" s="1"/>
      <c r="KTC30" s="1"/>
      <c r="KTD30" s="1"/>
      <c r="KTE30" s="1"/>
      <c r="KTF30" s="1"/>
      <c r="KTG30" s="1"/>
      <c r="KTH30" s="1"/>
      <c r="KTI30" s="1"/>
      <c r="KTJ30" s="1"/>
      <c r="KTK30" s="1"/>
      <c r="KTL30" s="1"/>
      <c r="KTM30" s="1"/>
      <c r="KTN30" s="1"/>
      <c r="KTO30" s="1"/>
      <c r="KTP30" s="1"/>
      <c r="KTQ30" s="1"/>
      <c r="KTR30" s="1"/>
      <c r="KTS30" s="1"/>
      <c r="KTT30" s="1"/>
      <c r="KTU30" s="1"/>
      <c r="KTV30" s="1"/>
      <c r="KTW30" s="1"/>
      <c r="KTX30" s="1"/>
      <c r="KTY30" s="1"/>
      <c r="KTZ30" s="1"/>
      <c r="KUA30" s="1"/>
      <c r="KUB30" s="1"/>
      <c r="KUC30" s="1"/>
      <c r="KUD30" s="1"/>
      <c r="KUE30" s="1"/>
      <c r="KUF30" s="1"/>
      <c r="KUG30" s="1"/>
      <c r="KUH30" s="1"/>
      <c r="KUI30" s="1"/>
      <c r="KUJ30" s="1"/>
      <c r="KUK30" s="1"/>
      <c r="KUL30" s="1"/>
      <c r="KUM30" s="1"/>
      <c r="KUN30" s="1"/>
      <c r="KUO30" s="1"/>
      <c r="KUP30" s="1"/>
      <c r="KUQ30" s="1"/>
      <c r="KUR30" s="1"/>
      <c r="KUS30" s="1"/>
      <c r="KUT30" s="1"/>
      <c r="KUU30" s="1"/>
      <c r="KUV30" s="1"/>
      <c r="KUW30" s="1"/>
      <c r="KUX30" s="1"/>
      <c r="KUY30" s="1"/>
      <c r="KUZ30" s="1"/>
      <c r="KVA30" s="1"/>
      <c r="KVB30" s="1"/>
      <c r="KVC30" s="1"/>
      <c r="KVD30" s="1"/>
      <c r="KVE30" s="1"/>
      <c r="KVF30" s="1"/>
      <c r="KVG30" s="1"/>
      <c r="KVH30" s="1"/>
      <c r="KVI30" s="1"/>
      <c r="KVJ30" s="1"/>
      <c r="KVK30" s="1"/>
      <c r="KVL30" s="1"/>
      <c r="KVM30" s="1"/>
      <c r="KVN30" s="1"/>
      <c r="KVO30" s="1"/>
      <c r="KVP30" s="1"/>
      <c r="KVQ30" s="1"/>
      <c r="KVR30" s="1"/>
      <c r="KVS30" s="1"/>
      <c r="KVT30" s="1"/>
      <c r="KVU30" s="1"/>
      <c r="KVV30" s="1"/>
      <c r="KVW30" s="1"/>
      <c r="KVX30" s="1"/>
      <c r="KVY30" s="1"/>
      <c r="KVZ30" s="1"/>
      <c r="KWA30" s="1"/>
      <c r="KWB30" s="1"/>
      <c r="KWC30" s="1"/>
      <c r="KWD30" s="1"/>
      <c r="KWE30" s="1"/>
      <c r="KWF30" s="1"/>
      <c r="KWG30" s="1"/>
      <c r="KWH30" s="1"/>
      <c r="KWI30" s="1"/>
      <c r="KWJ30" s="1"/>
      <c r="KWK30" s="1"/>
      <c r="KWL30" s="1"/>
      <c r="KWM30" s="1"/>
      <c r="KWN30" s="1"/>
      <c r="KWO30" s="1"/>
      <c r="KWP30" s="1"/>
      <c r="KWQ30" s="1"/>
      <c r="KWR30" s="1"/>
      <c r="KWS30" s="1"/>
      <c r="KWT30" s="1"/>
      <c r="KWU30" s="1"/>
      <c r="KWV30" s="1"/>
      <c r="KWW30" s="1"/>
      <c r="KWX30" s="1"/>
      <c r="KWY30" s="1"/>
      <c r="KWZ30" s="1"/>
      <c r="KXA30" s="1"/>
      <c r="KXB30" s="1"/>
      <c r="KXC30" s="1"/>
      <c r="KXD30" s="1"/>
      <c r="KXE30" s="1"/>
      <c r="KXF30" s="1"/>
      <c r="KXG30" s="1"/>
      <c r="KXH30" s="1"/>
      <c r="KXI30" s="1"/>
      <c r="KXJ30" s="1"/>
      <c r="KXK30" s="1"/>
      <c r="KXL30" s="1"/>
      <c r="KXM30" s="1"/>
      <c r="KXN30" s="1"/>
      <c r="KXO30" s="1"/>
      <c r="KXP30" s="1"/>
      <c r="KXQ30" s="1"/>
      <c r="KXR30" s="1"/>
      <c r="KXS30" s="1"/>
      <c r="KXT30" s="1"/>
      <c r="KXU30" s="1"/>
      <c r="KXV30" s="1"/>
      <c r="KXW30" s="1"/>
      <c r="KXX30" s="1"/>
      <c r="KXY30" s="1"/>
      <c r="KXZ30" s="1"/>
      <c r="KYA30" s="1"/>
      <c r="KYB30" s="1"/>
      <c r="KYC30" s="1"/>
      <c r="KYD30" s="1"/>
      <c r="KYE30" s="1"/>
      <c r="KYF30" s="1"/>
      <c r="KYG30" s="1"/>
      <c r="KYH30" s="1"/>
      <c r="KYI30" s="1"/>
      <c r="KYJ30" s="1"/>
      <c r="KYK30" s="1"/>
      <c r="KYL30" s="1"/>
      <c r="KYM30" s="1"/>
      <c r="KYN30" s="1"/>
      <c r="KYO30" s="1"/>
      <c r="KYP30" s="1"/>
      <c r="KYQ30" s="1"/>
      <c r="KYR30" s="1"/>
      <c r="KYS30" s="1"/>
      <c r="KYT30" s="1"/>
      <c r="KYU30" s="1"/>
      <c r="KYV30" s="1"/>
      <c r="KYW30" s="1"/>
      <c r="KYX30" s="1"/>
      <c r="KYY30" s="1"/>
      <c r="KYZ30" s="1"/>
      <c r="KZA30" s="1"/>
      <c r="KZB30" s="1"/>
      <c r="KZC30" s="1"/>
      <c r="KZD30" s="1"/>
      <c r="KZE30" s="1"/>
      <c r="KZF30" s="1"/>
      <c r="KZG30" s="1"/>
      <c r="KZH30" s="1"/>
      <c r="KZI30" s="1"/>
      <c r="KZJ30" s="1"/>
      <c r="KZK30" s="1"/>
      <c r="KZL30" s="1"/>
      <c r="KZM30" s="1"/>
      <c r="KZN30" s="1"/>
      <c r="KZO30" s="1"/>
      <c r="KZP30" s="1"/>
      <c r="KZQ30" s="1"/>
      <c r="KZR30" s="1"/>
      <c r="KZS30" s="1"/>
      <c r="KZT30" s="1"/>
      <c r="KZU30" s="1"/>
      <c r="KZV30" s="1"/>
      <c r="KZW30" s="1"/>
      <c r="KZX30" s="1"/>
      <c r="KZY30" s="1"/>
      <c r="KZZ30" s="1"/>
      <c r="LAA30" s="1"/>
      <c r="LAB30" s="1"/>
      <c r="LAC30" s="1"/>
      <c r="LAD30" s="1"/>
      <c r="LAE30" s="1"/>
      <c r="LAF30" s="1"/>
      <c r="LAG30" s="1"/>
      <c r="LAH30" s="1"/>
      <c r="LAI30" s="1"/>
      <c r="LAJ30" s="1"/>
      <c r="LAK30" s="1"/>
      <c r="LAL30" s="1"/>
      <c r="LAM30" s="1"/>
      <c r="LAN30" s="1"/>
      <c r="LAO30" s="1"/>
      <c r="LAP30" s="1"/>
      <c r="LAQ30" s="1"/>
      <c r="LAR30" s="1"/>
      <c r="LAS30" s="1"/>
      <c r="LAT30" s="1"/>
      <c r="LAU30" s="1"/>
      <c r="LAV30" s="1"/>
      <c r="LAW30" s="1"/>
      <c r="LAX30" s="1"/>
      <c r="LAY30" s="1"/>
      <c r="LAZ30" s="1"/>
      <c r="LBA30" s="1"/>
      <c r="LBB30" s="1"/>
      <c r="LBC30" s="1"/>
      <c r="LBD30" s="1"/>
      <c r="LBE30" s="1"/>
      <c r="LBF30" s="1"/>
      <c r="LBG30" s="1"/>
      <c r="LBH30" s="1"/>
      <c r="LBI30" s="1"/>
      <c r="LBJ30" s="1"/>
      <c r="LBK30" s="1"/>
      <c r="LBL30" s="1"/>
      <c r="LBM30" s="1"/>
      <c r="LBN30" s="1"/>
      <c r="LBO30" s="1"/>
      <c r="LBP30" s="1"/>
      <c r="LBQ30" s="1"/>
      <c r="LBR30" s="1"/>
      <c r="LBS30" s="1"/>
      <c r="LBT30" s="1"/>
      <c r="LBU30" s="1"/>
      <c r="LBV30" s="1"/>
      <c r="LBW30" s="1"/>
      <c r="LBX30" s="1"/>
      <c r="LBY30" s="1"/>
      <c r="LBZ30" s="1"/>
      <c r="LCA30" s="1"/>
      <c r="LCB30" s="1"/>
      <c r="LCC30" s="1"/>
      <c r="LCD30" s="1"/>
      <c r="LCE30" s="1"/>
      <c r="LCF30" s="1"/>
      <c r="LCG30" s="1"/>
      <c r="LCH30" s="1"/>
      <c r="LCI30" s="1"/>
      <c r="LCJ30" s="1"/>
      <c r="LCK30" s="1"/>
      <c r="LCL30" s="1"/>
      <c r="LCM30" s="1"/>
      <c r="LCN30" s="1"/>
      <c r="LCO30" s="1"/>
      <c r="LCP30" s="1"/>
      <c r="LCQ30" s="1"/>
      <c r="LCR30" s="1"/>
      <c r="LCS30" s="1"/>
      <c r="LCT30" s="1"/>
      <c r="LCU30" s="1"/>
      <c r="LCV30" s="1"/>
      <c r="LCW30" s="1"/>
      <c r="LCX30" s="1"/>
      <c r="LCY30" s="1"/>
      <c r="LCZ30" s="1"/>
      <c r="LDA30" s="1"/>
      <c r="LDB30" s="1"/>
      <c r="LDC30" s="1"/>
      <c r="LDD30" s="1"/>
      <c r="LDE30" s="1"/>
      <c r="LDF30" s="1"/>
      <c r="LDG30" s="1"/>
      <c r="LDH30" s="1"/>
      <c r="LDI30" s="1"/>
      <c r="LDJ30" s="1"/>
      <c r="LDK30" s="1"/>
      <c r="LDL30" s="1"/>
      <c r="LDM30" s="1"/>
      <c r="LDN30" s="1"/>
      <c r="LDO30" s="1"/>
      <c r="LDP30" s="1"/>
      <c r="LDQ30" s="1"/>
      <c r="LDR30" s="1"/>
      <c r="LDS30" s="1"/>
      <c r="LDT30" s="1"/>
      <c r="LDU30" s="1"/>
      <c r="LDV30" s="1"/>
      <c r="LDW30" s="1"/>
      <c r="LDX30" s="1"/>
      <c r="LDY30" s="1"/>
      <c r="LDZ30" s="1"/>
      <c r="LEA30" s="1"/>
      <c r="LEB30" s="1"/>
      <c r="LEC30" s="1"/>
      <c r="LED30" s="1"/>
      <c r="LEE30" s="1"/>
      <c r="LEF30" s="1"/>
      <c r="LEG30" s="1"/>
      <c r="LEH30" s="1"/>
      <c r="LEI30" s="1"/>
      <c r="LEJ30" s="1"/>
      <c r="LEK30" s="1"/>
      <c r="LEL30" s="1"/>
      <c r="LEM30" s="1"/>
      <c r="LEN30" s="1"/>
      <c r="LEO30" s="1"/>
      <c r="LEP30" s="1"/>
      <c r="LEQ30" s="1"/>
      <c r="LER30" s="1"/>
      <c r="LES30" s="1"/>
      <c r="LET30" s="1"/>
      <c r="LEU30" s="1"/>
      <c r="LEV30" s="1"/>
      <c r="LEW30" s="1"/>
      <c r="LEX30" s="1"/>
      <c r="LEY30" s="1"/>
      <c r="LEZ30" s="1"/>
      <c r="LFA30" s="1"/>
      <c r="LFB30" s="1"/>
      <c r="LFC30" s="1"/>
      <c r="LFD30" s="1"/>
      <c r="LFE30" s="1"/>
      <c r="LFF30" s="1"/>
      <c r="LFG30" s="1"/>
      <c r="LFH30" s="1"/>
      <c r="LFI30" s="1"/>
      <c r="LFJ30" s="1"/>
      <c r="LFK30" s="1"/>
      <c r="LFL30" s="1"/>
      <c r="LFM30" s="1"/>
      <c r="LFN30" s="1"/>
      <c r="LFO30" s="1"/>
      <c r="LFP30" s="1"/>
      <c r="LFQ30" s="1"/>
      <c r="LFR30" s="1"/>
      <c r="LFS30" s="1"/>
      <c r="LFT30" s="1"/>
      <c r="LFU30" s="1"/>
      <c r="LFV30" s="1"/>
      <c r="LFW30" s="1"/>
      <c r="LFX30" s="1"/>
      <c r="LFY30" s="1"/>
      <c r="LFZ30" s="1"/>
      <c r="LGA30" s="1"/>
      <c r="LGB30" s="1"/>
      <c r="LGC30" s="1"/>
      <c r="LGD30" s="1"/>
      <c r="LGE30" s="1"/>
      <c r="LGF30" s="1"/>
      <c r="LGG30" s="1"/>
      <c r="LGH30" s="1"/>
      <c r="LGI30" s="1"/>
      <c r="LGJ30" s="1"/>
      <c r="LGK30" s="1"/>
      <c r="LGL30" s="1"/>
      <c r="LGM30" s="1"/>
      <c r="LGN30" s="1"/>
      <c r="LGO30" s="1"/>
      <c r="LGP30" s="1"/>
      <c r="LGQ30" s="1"/>
      <c r="LGR30" s="1"/>
      <c r="LGS30" s="1"/>
      <c r="LGT30" s="1"/>
      <c r="LGU30" s="1"/>
      <c r="LGV30" s="1"/>
      <c r="LGW30" s="1"/>
      <c r="LGX30" s="1"/>
      <c r="LGY30" s="1"/>
      <c r="LGZ30" s="1"/>
      <c r="LHA30" s="1"/>
      <c r="LHB30" s="1"/>
      <c r="LHC30" s="1"/>
      <c r="LHD30" s="1"/>
      <c r="LHE30" s="1"/>
      <c r="LHF30" s="1"/>
      <c r="LHG30" s="1"/>
      <c r="LHH30" s="1"/>
      <c r="LHI30" s="1"/>
      <c r="LHJ30" s="1"/>
      <c r="LHK30" s="1"/>
      <c r="LHL30" s="1"/>
      <c r="LHM30" s="1"/>
      <c r="LHN30" s="1"/>
      <c r="LHO30" s="1"/>
      <c r="LHP30" s="1"/>
      <c r="LHQ30" s="1"/>
      <c r="LHR30" s="1"/>
      <c r="LHS30" s="1"/>
      <c r="LHT30" s="1"/>
      <c r="LHU30" s="1"/>
      <c r="LHV30" s="1"/>
      <c r="LHW30" s="1"/>
      <c r="LHX30" s="1"/>
      <c r="LHY30" s="1"/>
      <c r="LHZ30" s="1"/>
      <c r="LIA30" s="1"/>
      <c r="LIB30" s="1"/>
      <c r="LIC30" s="1"/>
      <c r="LID30" s="1"/>
      <c r="LIE30" s="1"/>
      <c r="LIF30" s="1"/>
      <c r="LIG30" s="1"/>
      <c r="LIH30" s="1"/>
      <c r="LII30" s="1"/>
      <c r="LIJ30" s="1"/>
      <c r="LIK30" s="1"/>
      <c r="LIL30" s="1"/>
      <c r="LIM30" s="1"/>
      <c r="LIN30" s="1"/>
      <c r="LIO30" s="1"/>
      <c r="LIP30" s="1"/>
      <c r="LIQ30" s="1"/>
      <c r="LIR30" s="1"/>
      <c r="LIS30" s="1"/>
      <c r="LIT30" s="1"/>
      <c r="LIU30" s="1"/>
      <c r="LIV30" s="1"/>
      <c r="LIW30" s="1"/>
      <c r="LIX30" s="1"/>
      <c r="LIY30" s="1"/>
      <c r="LIZ30" s="1"/>
      <c r="LJA30" s="1"/>
      <c r="LJB30" s="1"/>
      <c r="LJC30" s="1"/>
      <c r="LJD30" s="1"/>
      <c r="LJE30" s="1"/>
      <c r="LJF30" s="1"/>
      <c r="LJG30" s="1"/>
      <c r="LJH30" s="1"/>
      <c r="LJI30" s="1"/>
      <c r="LJJ30" s="1"/>
      <c r="LJK30" s="1"/>
      <c r="LJL30" s="1"/>
      <c r="LJM30" s="1"/>
      <c r="LJN30" s="1"/>
      <c r="LJO30" s="1"/>
      <c r="LJP30" s="1"/>
      <c r="LJQ30" s="1"/>
      <c r="LJR30" s="1"/>
      <c r="LJS30" s="1"/>
      <c r="LJT30" s="1"/>
      <c r="LJU30" s="1"/>
      <c r="LJV30" s="1"/>
      <c r="LJW30" s="1"/>
      <c r="LJX30" s="1"/>
      <c r="LJY30" s="1"/>
      <c r="LJZ30" s="1"/>
      <c r="LKA30" s="1"/>
      <c r="LKB30" s="1"/>
      <c r="LKC30" s="1"/>
      <c r="LKD30" s="1"/>
      <c r="LKE30" s="1"/>
      <c r="LKF30" s="1"/>
      <c r="LKG30" s="1"/>
      <c r="LKH30" s="1"/>
      <c r="LKI30" s="1"/>
      <c r="LKJ30" s="1"/>
      <c r="LKK30" s="1"/>
      <c r="LKL30" s="1"/>
      <c r="LKM30" s="1"/>
      <c r="LKN30" s="1"/>
      <c r="LKO30" s="1"/>
      <c r="LKP30" s="1"/>
      <c r="LKQ30" s="1"/>
      <c r="LKR30" s="1"/>
      <c r="LKS30" s="1"/>
      <c r="LKT30" s="1"/>
      <c r="LKU30" s="1"/>
      <c r="LKV30" s="1"/>
      <c r="LKW30" s="1"/>
      <c r="LKX30" s="1"/>
      <c r="LKY30" s="1"/>
      <c r="LKZ30" s="1"/>
      <c r="LLA30" s="1"/>
      <c r="LLB30" s="1"/>
      <c r="LLC30" s="1"/>
      <c r="LLD30" s="1"/>
      <c r="LLE30" s="1"/>
      <c r="LLF30" s="1"/>
      <c r="LLG30" s="1"/>
      <c r="LLH30" s="1"/>
      <c r="LLI30" s="1"/>
      <c r="LLJ30" s="1"/>
      <c r="LLK30" s="1"/>
      <c r="LLL30" s="1"/>
      <c r="LLM30" s="1"/>
      <c r="LLN30" s="1"/>
      <c r="LLO30" s="1"/>
      <c r="LLP30" s="1"/>
      <c r="LLQ30" s="1"/>
      <c r="LLR30" s="1"/>
      <c r="LLS30" s="1"/>
      <c r="LLT30" s="1"/>
      <c r="LLU30" s="1"/>
      <c r="LLV30" s="1"/>
      <c r="LLW30" s="1"/>
      <c r="LLX30" s="1"/>
      <c r="LLY30" s="1"/>
      <c r="LLZ30" s="1"/>
      <c r="LMA30" s="1"/>
      <c r="LMB30" s="1"/>
      <c r="LMC30" s="1"/>
      <c r="LMD30" s="1"/>
      <c r="LME30" s="1"/>
      <c r="LMF30" s="1"/>
      <c r="LMG30" s="1"/>
      <c r="LMH30" s="1"/>
      <c r="LMI30" s="1"/>
      <c r="LMJ30" s="1"/>
      <c r="LMK30" s="1"/>
      <c r="LML30" s="1"/>
      <c r="LMM30" s="1"/>
      <c r="LMN30" s="1"/>
      <c r="LMO30" s="1"/>
      <c r="LMP30" s="1"/>
      <c r="LMQ30" s="1"/>
      <c r="LMR30" s="1"/>
      <c r="LMS30" s="1"/>
      <c r="LMT30" s="1"/>
      <c r="LMU30" s="1"/>
      <c r="LMV30" s="1"/>
      <c r="LMW30" s="1"/>
      <c r="LMX30" s="1"/>
      <c r="LMY30" s="1"/>
      <c r="LMZ30" s="1"/>
      <c r="LNA30" s="1"/>
      <c r="LNB30" s="1"/>
      <c r="LNC30" s="1"/>
      <c r="LND30" s="1"/>
      <c r="LNE30" s="1"/>
      <c r="LNF30" s="1"/>
      <c r="LNG30" s="1"/>
      <c r="LNH30" s="1"/>
      <c r="LNI30" s="1"/>
      <c r="LNJ30" s="1"/>
      <c r="LNK30" s="1"/>
      <c r="LNL30" s="1"/>
      <c r="LNM30" s="1"/>
      <c r="LNN30" s="1"/>
      <c r="LNO30" s="1"/>
      <c r="LNP30" s="1"/>
      <c r="LNQ30" s="1"/>
      <c r="LNR30" s="1"/>
      <c r="LNS30" s="1"/>
      <c r="LNT30" s="1"/>
      <c r="LNU30" s="1"/>
      <c r="LNV30" s="1"/>
      <c r="LNW30" s="1"/>
      <c r="LNX30" s="1"/>
      <c r="LNY30" s="1"/>
      <c r="LNZ30" s="1"/>
      <c r="LOA30" s="1"/>
      <c r="LOB30" s="1"/>
      <c r="LOC30" s="1"/>
      <c r="LOD30" s="1"/>
      <c r="LOE30" s="1"/>
      <c r="LOF30" s="1"/>
      <c r="LOG30" s="1"/>
      <c r="LOH30" s="1"/>
      <c r="LOI30" s="1"/>
      <c r="LOJ30" s="1"/>
      <c r="LOK30" s="1"/>
      <c r="LOL30" s="1"/>
      <c r="LOM30" s="1"/>
      <c r="LON30" s="1"/>
      <c r="LOO30" s="1"/>
      <c r="LOP30" s="1"/>
      <c r="LOQ30" s="1"/>
      <c r="LOR30" s="1"/>
      <c r="LOS30" s="1"/>
      <c r="LOT30" s="1"/>
      <c r="LOU30" s="1"/>
      <c r="LOV30" s="1"/>
      <c r="LOW30" s="1"/>
      <c r="LOX30" s="1"/>
      <c r="LOY30" s="1"/>
      <c r="LOZ30" s="1"/>
      <c r="LPA30" s="1"/>
      <c r="LPB30" s="1"/>
      <c r="LPC30" s="1"/>
      <c r="LPD30" s="1"/>
      <c r="LPE30" s="1"/>
      <c r="LPF30" s="1"/>
      <c r="LPG30" s="1"/>
      <c r="LPH30" s="1"/>
      <c r="LPI30" s="1"/>
      <c r="LPJ30" s="1"/>
      <c r="LPK30" s="1"/>
      <c r="LPL30" s="1"/>
      <c r="LPM30" s="1"/>
      <c r="LPN30" s="1"/>
      <c r="LPO30" s="1"/>
      <c r="LPP30" s="1"/>
      <c r="LPQ30" s="1"/>
      <c r="LPR30" s="1"/>
      <c r="LPS30" s="1"/>
      <c r="LPT30" s="1"/>
      <c r="LPU30" s="1"/>
      <c r="LPV30" s="1"/>
      <c r="LPW30" s="1"/>
      <c r="LPX30" s="1"/>
      <c r="LPY30" s="1"/>
      <c r="LPZ30" s="1"/>
      <c r="LQA30" s="1"/>
      <c r="LQB30" s="1"/>
      <c r="LQC30" s="1"/>
      <c r="LQD30" s="1"/>
      <c r="LQE30" s="1"/>
      <c r="LQF30" s="1"/>
      <c r="LQG30" s="1"/>
      <c r="LQH30" s="1"/>
      <c r="LQI30" s="1"/>
      <c r="LQJ30" s="1"/>
      <c r="LQK30" s="1"/>
      <c r="LQL30" s="1"/>
      <c r="LQM30" s="1"/>
      <c r="LQN30" s="1"/>
      <c r="LQO30" s="1"/>
      <c r="LQP30" s="1"/>
      <c r="LQQ30" s="1"/>
      <c r="LQR30" s="1"/>
      <c r="LQS30" s="1"/>
      <c r="LQT30" s="1"/>
      <c r="LQU30" s="1"/>
      <c r="LQV30" s="1"/>
      <c r="LQW30" s="1"/>
      <c r="LQX30" s="1"/>
      <c r="LQY30" s="1"/>
      <c r="LQZ30" s="1"/>
      <c r="LRA30" s="1"/>
      <c r="LRB30" s="1"/>
      <c r="LRC30" s="1"/>
      <c r="LRD30" s="1"/>
      <c r="LRE30" s="1"/>
      <c r="LRF30" s="1"/>
      <c r="LRG30" s="1"/>
      <c r="LRH30" s="1"/>
      <c r="LRI30" s="1"/>
      <c r="LRJ30" s="1"/>
      <c r="LRK30" s="1"/>
      <c r="LRL30" s="1"/>
      <c r="LRM30" s="1"/>
      <c r="LRN30" s="1"/>
      <c r="LRO30" s="1"/>
      <c r="LRP30" s="1"/>
      <c r="LRQ30" s="1"/>
      <c r="LRR30" s="1"/>
      <c r="LRS30" s="1"/>
      <c r="LRT30" s="1"/>
      <c r="LRU30" s="1"/>
      <c r="LRV30" s="1"/>
      <c r="LRW30" s="1"/>
      <c r="LRX30" s="1"/>
      <c r="LRY30" s="1"/>
      <c r="LRZ30" s="1"/>
      <c r="LSA30" s="1"/>
      <c r="LSB30" s="1"/>
      <c r="LSC30" s="1"/>
      <c r="LSD30" s="1"/>
      <c r="LSE30" s="1"/>
      <c r="LSF30" s="1"/>
      <c r="LSG30" s="1"/>
      <c r="LSH30" s="1"/>
      <c r="LSI30" s="1"/>
      <c r="LSJ30" s="1"/>
      <c r="LSK30" s="1"/>
      <c r="LSL30" s="1"/>
      <c r="LSM30" s="1"/>
      <c r="LSN30" s="1"/>
      <c r="LSO30" s="1"/>
      <c r="LSP30" s="1"/>
      <c r="LSQ30" s="1"/>
      <c r="LSR30" s="1"/>
      <c r="LSS30" s="1"/>
      <c r="LST30" s="1"/>
      <c r="LSU30" s="1"/>
      <c r="LSV30" s="1"/>
      <c r="LSW30" s="1"/>
      <c r="LSX30" s="1"/>
      <c r="LSY30" s="1"/>
      <c r="LSZ30" s="1"/>
      <c r="LTA30" s="1"/>
      <c r="LTB30" s="1"/>
      <c r="LTC30" s="1"/>
      <c r="LTD30" s="1"/>
      <c r="LTE30" s="1"/>
      <c r="LTF30" s="1"/>
      <c r="LTG30" s="1"/>
      <c r="LTH30" s="1"/>
      <c r="LTI30" s="1"/>
      <c r="LTJ30" s="1"/>
      <c r="LTK30" s="1"/>
      <c r="LTL30" s="1"/>
      <c r="LTM30" s="1"/>
      <c r="LTN30" s="1"/>
      <c r="LTO30" s="1"/>
      <c r="LTP30" s="1"/>
      <c r="LTQ30" s="1"/>
      <c r="LTR30" s="1"/>
      <c r="LTS30" s="1"/>
      <c r="LTT30" s="1"/>
      <c r="LTU30" s="1"/>
      <c r="LTV30" s="1"/>
      <c r="LTW30" s="1"/>
      <c r="LTX30" s="1"/>
      <c r="LTY30" s="1"/>
      <c r="LTZ30" s="1"/>
      <c r="LUA30" s="1"/>
      <c r="LUB30" s="1"/>
      <c r="LUC30" s="1"/>
      <c r="LUD30" s="1"/>
      <c r="LUE30" s="1"/>
      <c r="LUF30" s="1"/>
      <c r="LUG30" s="1"/>
      <c r="LUH30" s="1"/>
      <c r="LUI30" s="1"/>
      <c r="LUJ30" s="1"/>
      <c r="LUK30" s="1"/>
      <c r="LUL30" s="1"/>
      <c r="LUM30" s="1"/>
      <c r="LUN30" s="1"/>
      <c r="LUO30" s="1"/>
      <c r="LUP30" s="1"/>
      <c r="LUQ30" s="1"/>
      <c r="LUR30" s="1"/>
      <c r="LUS30" s="1"/>
      <c r="LUT30" s="1"/>
      <c r="LUU30" s="1"/>
      <c r="LUV30" s="1"/>
      <c r="LUW30" s="1"/>
      <c r="LUX30" s="1"/>
      <c r="LUY30" s="1"/>
      <c r="LUZ30" s="1"/>
      <c r="LVA30" s="1"/>
      <c r="LVB30" s="1"/>
      <c r="LVC30" s="1"/>
      <c r="LVD30" s="1"/>
      <c r="LVE30" s="1"/>
      <c r="LVF30" s="1"/>
      <c r="LVG30" s="1"/>
      <c r="LVH30" s="1"/>
      <c r="LVI30" s="1"/>
      <c r="LVJ30" s="1"/>
      <c r="LVK30" s="1"/>
      <c r="LVL30" s="1"/>
      <c r="LVM30" s="1"/>
      <c r="LVN30" s="1"/>
      <c r="LVO30" s="1"/>
      <c r="LVP30" s="1"/>
      <c r="LVQ30" s="1"/>
      <c r="LVR30" s="1"/>
      <c r="LVS30" s="1"/>
      <c r="LVT30" s="1"/>
      <c r="LVU30" s="1"/>
      <c r="LVV30" s="1"/>
      <c r="LVW30" s="1"/>
      <c r="LVX30" s="1"/>
      <c r="LVY30" s="1"/>
      <c r="LVZ30" s="1"/>
      <c r="LWA30" s="1"/>
      <c r="LWB30" s="1"/>
      <c r="LWC30" s="1"/>
      <c r="LWD30" s="1"/>
      <c r="LWE30" s="1"/>
      <c r="LWF30" s="1"/>
      <c r="LWG30" s="1"/>
      <c r="LWH30" s="1"/>
      <c r="LWI30" s="1"/>
      <c r="LWJ30" s="1"/>
      <c r="LWK30" s="1"/>
      <c r="LWL30" s="1"/>
      <c r="LWM30" s="1"/>
      <c r="LWN30" s="1"/>
      <c r="LWO30" s="1"/>
      <c r="LWP30" s="1"/>
      <c r="LWQ30" s="1"/>
      <c r="LWR30" s="1"/>
      <c r="LWS30" s="1"/>
      <c r="LWT30" s="1"/>
      <c r="LWU30" s="1"/>
      <c r="LWV30" s="1"/>
      <c r="LWW30" s="1"/>
      <c r="LWX30" s="1"/>
      <c r="LWY30" s="1"/>
      <c r="LWZ30" s="1"/>
      <c r="LXA30" s="1"/>
      <c r="LXB30" s="1"/>
      <c r="LXC30" s="1"/>
      <c r="LXD30" s="1"/>
      <c r="LXE30" s="1"/>
      <c r="LXF30" s="1"/>
      <c r="LXG30" s="1"/>
      <c r="LXH30" s="1"/>
      <c r="LXI30" s="1"/>
      <c r="LXJ30" s="1"/>
      <c r="LXK30" s="1"/>
      <c r="LXL30" s="1"/>
      <c r="LXM30" s="1"/>
      <c r="LXN30" s="1"/>
      <c r="LXO30" s="1"/>
      <c r="LXP30" s="1"/>
      <c r="LXQ30" s="1"/>
      <c r="LXR30" s="1"/>
      <c r="LXS30" s="1"/>
      <c r="LXT30" s="1"/>
      <c r="LXU30" s="1"/>
      <c r="LXV30" s="1"/>
      <c r="LXW30" s="1"/>
      <c r="LXX30" s="1"/>
      <c r="LXY30" s="1"/>
      <c r="LXZ30" s="1"/>
      <c r="LYA30" s="1"/>
      <c r="LYB30" s="1"/>
      <c r="LYC30" s="1"/>
      <c r="LYD30" s="1"/>
      <c r="LYE30" s="1"/>
      <c r="LYF30" s="1"/>
      <c r="LYG30" s="1"/>
      <c r="LYH30" s="1"/>
      <c r="LYI30" s="1"/>
      <c r="LYJ30" s="1"/>
      <c r="LYK30" s="1"/>
      <c r="LYL30" s="1"/>
      <c r="LYM30" s="1"/>
      <c r="LYN30" s="1"/>
      <c r="LYO30" s="1"/>
      <c r="LYP30" s="1"/>
      <c r="LYQ30" s="1"/>
      <c r="LYR30" s="1"/>
      <c r="LYS30" s="1"/>
      <c r="LYT30" s="1"/>
      <c r="LYU30" s="1"/>
      <c r="LYV30" s="1"/>
      <c r="LYW30" s="1"/>
      <c r="LYX30" s="1"/>
      <c r="LYY30" s="1"/>
      <c r="LYZ30" s="1"/>
      <c r="LZA30" s="1"/>
      <c r="LZB30" s="1"/>
      <c r="LZC30" s="1"/>
      <c r="LZD30" s="1"/>
      <c r="LZE30" s="1"/>
      <c r="LZF30" s="1"/>
      <c r="LZG30" s="1"/>
      <c r="LZH30" s="1"/>
      <c r="LZI30" s="1"/>
      <c r="LZJ30" s="1"/>
      <c r="LZK30" s="1"/>
      <c r="LZL30" s="1"/>
      <c r="LZM30" s="1"/>
      <c r="LZN30" s="1"/>
      <c r="LZO30" s="1"/>
      <c r="LZP30" s="1"/>
      <c r="LZQ30" s="1"/>
      <c r="LZR30" s="1"/>
      <c r="LZS30" s="1"/>
      <c r="LZT30" s="1"/>
      <c r="LZU30" s="1"/>
      <c r="LZV30" s="1"/>
      <c r="LZW30" s="1"/>
      <c r="LZX30" s="1"/>
      <c r="LZY30" s="1"/>
      <c r="LZZ30" s="1"/>
      <c r="MAA30" s="1"/>
      <c r="MAB30" s="1"/>
      <c r="MAC30" s="1"/>
      <c r="MAD30" s="1"/>
      <c r="MAE30" s="1"/>
      <c r="MAF30" s="1"/>
      <c r="MAG30" s="1"/>
      <c r="MAH30" s="1"/>
      <c r="MAI30" s="1"/>
      <c r="MAJ30" s="1"/>
      <c r="MAK30" s="1"/>
      <c r="MAL30" s="1"/>
      <c r="MAM30" s="1"/>
      <c r="MAN30" s="1"/>
      <c r="MAO30" s="1"/>
      <c r="MAP30" s="1"/>
      <c r="MAQ30" s="1"/>
      <c r="MAR30" s="1"/>
      <c r="MAS30" s="1"/>
      <c r="MAT30" s="1"/>
      <c r="MAU30" s="1"/>
      <c r="MAV30" s="1"/>
      <c r="MAW30" s="1"/>
      <c r="MAX30" s="1"/>
      <c r="MAY30" s="1"/>
      <c r="MAZ30" s="1"/>
      <c r="MBA30" s="1"/>
      <c r="MBB30" s="1"/>
      <c r="MBC30" s="1"/>
      <c r="MBD30" s="1"/>
      <c r="MBE30" s="1"/>
      <c r="MBF30" s="1"/>
      <c r="MBG30" s="1"/>
      <c r="MBH30" s="1"/>
      <c r="MBI30" s="1"/>
      <c r="MBJ30" s="1"/>
      <c r="MBK30" s="1"/>
      <c r="MBL30" s="1"/>
      <c r="MBM30" s="1"/>
      <c r="MBN30" s="1"/>
      <c r="MBO30" s="1"/>
      <c r="MBP30" s="1"/>
      <c r="MBQ30" s="1"/>
      <c r="MBR30" s="1"/>
      <c r="MBS30" s="1"/>
      <c r="MBT30" s="1"/>
      <c r="MBU30" s="1"/>
      <c r="MBV30" s="1"/>
      <c r="MBW30" s="1"/>
      <c r="MBX30" s="1"/>
      <c r="MBY30" s="1"/>
      <c r="MBZ30" s="1"/>
      <c r="MCA30" s="1"/>
      <c r="MCB30" s="1"/>
      <c r="MCC30" s="1"/>
      <c r="MCD30" s="1"/>
      <c r="MCE30" s="1"/>
      <c r="MCF30" s="1"/>
      <c r="MCG30" s="1"/>
      <c r="MCH30" s="1"/>
      <c r="MCI30" s="1"/>
      <c r="MCJ30" s="1"/>
      <c r="MCK30" s="1"/>
      <c r="MCL30" s="1"/>
      <c r="MCM30" s="1"/>
      <c r="MCN30" s="1"/>
      <c r="MCO30" s="1"/>
      <c r="MCP30" s="1"/>
      <c r="MCQ30" s="1"/>
      <c r="MCR30" s="1"/>
      <c r="MCS30" s="1"/>
      <c r="MCT30" s="1"/>
      <c r="MCU30" s="1"/>
      <c r="MCV30" s="1"/>
      <c r="MCW30" s="1"/>
      <c r="MCX30" s="1"/>
      <c r="MCY30" s="1"/>
      <c r="MCZ30" s="1"/>
      <c r="MDA30" s="1"/>
      <c r="MDB30" s="1"/>
      <c r="MDC30" s="1"/>
      <c r="MDD30" s="1"/>
      <c r="MDE30" s="1"/>
      <c r="MDF30" s="1"/>
      <c r="MDG30" s="1"/>
      <c r="MDH30" s="1"/>
      <c r="MDI30" s="1"/>
      <c r="MDJ30" s="1"/>
      <c r="MDK30" s="1"/>
      <c r="MDL30" s="1"/>
      <c r="MDM30" s="1"/>
      <c r="MDN30" s="1"/>
      <c r="MDO30" s="1"/>
      <c r="MDP30" s="1"/>
      <c r="MDQ30" s="1"/>
      <c r="MDR30" s="1"/>
      <c r="MDS30" s="1"/>
      <c r="MDT30" s="1"/>
      <c r="MDU30" s="1"/>
      <c r="MDV30" s="1"/>
      <c r="MDW30" s="1"/>
      <c r="MDX30" s="1"/>
      <c r="MDY30" s="1"/>
      <c r="MDZ30" s="1"/>
      <c r="MEA30" s="1"/>
      <c r="MEB30" s="1"/>
      <c r="MEC30" s="1"/>
      <c r="MED30" s="1"/>
      <c r="MEE30" s="1"/>
      <c r="MEF30" s="1"/>
      <c r="MEG30" s="1"/>
      <c r="MEH30" s="1"/>
      <c r="MEI30" s="1"/>
      <c r="MEJ30" s="1"/>
      <c r="MEK30" s="1"/>
      <c r="MEL30" s="1"/>
      <c r="MEM30" s="1"/>
      <c r="MEN30" s="1"/>
      <c r="MEO30" s="1"/>
      <c r="MEP30" s="1"/>
      <c r="MEQ30" s="1"/>
      <c r="MER30" s="1"/>
      <c r="MES30" s="1"/>
      <c r="MET30" s="1"/>
      <c r="MEU30" s="1"/>
      <c r="MEV30" s="1"/>
      <c r="MEW30" s="1"/>
      <c r="MEX30" s="1"/>
      <c r="MEY30" s="1"/>
      <c r="MEZ30" s="1"/>
      <c r="MFA30" s="1"/>
      <c r="MFB30" s="1"/>
      <c r="MFC30" s="1"/>
      <c r="MFD30" s="1"/>
      <c r="MFE30" s="1"/>
      <c r="MFF30" s="1"/>
      <c r="MFG30" s="1"/>
      <c r="MFH30" s="1"/>
      <c r="MFI30" s="1"/>
      <c r="MFJ30" s="1"/>
      <c r="MFK30" s="1"/>
      <c r="MFL30" s="1"/>
      <c r="MFM30" s="1"/>
      <c r="MFN30" s="1"/>
      <c r="MFO30" s="1"/>
      <c r="MFP30" s="1"/>
      <c r="MFQ30" s="1"/>
      <c r="MFR30" s="1"/>
      <c r="MFS30" s="1"/>
      <c r="MFT30" s="1"/>
      <c r="MFU30" s="1"/>
      <c r="MFV30" s="1"/>
      <c r="MFW30" s="1"/>
      <c r="MFX30" s="1"/>
      <c r="MFY30" s="1"/>
      <c r="MFZ30" s="1"/>
      <c r="MGA30" s="1"/>
      <c r="MGB30" s="1"/>
      <c r="MGC30" s="1"/>
      <c r="MGD30" s="1"/>
      <c r="MGE30" s="1"/>
      <c r="MGF30" s="1"/>
      <c r="MGG30" s="1"/>
      <c r="MGH30" s="1"/>
      <c r="MGI30" s="1"/>
      <c r="MGJ30" s="1"/>
      <c r="MGK30" s="1"/>
      <c r="MGL30" s="1"/>
      <c r="MGM30" s="1"/>
      <c r="MGN30" s="1"/>
      <c r="MGO30" s="1"/>
      <c r="MGP30" s="1"/>
      <c r="MGQ30" s="1"/>
      <c r="MGR30" s="1"/>
      <c r="MGS30" s="1"/>
      <c r="MGT30" s="1"/>
      <c r="MGU30" s="1"/>
      <c r="MGV30" s="1"/>
      <c r="MGW30" s="1"/>
      <c r="MGX30" s="1"/>
      <c r="MGY30" s="1"/>
      <c r="MGZ30" s="1"/>
      <c r="MHA30" s="1"/>
      <c r="MHB30" s="1"/>
      <c r="MHC30" s="1"/>
      <c r="MHD30" s="1"/>
      <c r="MHE30" s="1"/>
      <c r="MHF30" s="1"/>
      <c r="MHG30" s="1"/>
      <c r="MHH30" s="1"/>
      <c r="MHI30" s="1"/>
      <c r="MHJ30" s="1"/>
      <c r="MHK30" s="1"/>
      <c r="MHL30" s="1"/>
      <c r="MHM30" s="1"/>
      <c r="MHN30" s="1"/>
      <c r="MHO30" s="1"/>
      <c r="MHP30" s="1"/>
      <c r="MHQ30" s="1"/>
      <c r="MHR30" s="1"/>
      <c r="MHS30" s="1"/>
      <c r="MHT30" s="1"/>
      <c r="MHU30" s="1"/>
      <c r="MHV30" s="1"/>
      <c r="MHW30" s="1"/>
      <c r="MHX30" s="1"/>
      <c r="MHY30" s="1"/>
      <c r="MHZ30" s="1"/>
      <c r="MIA30" s="1"/>
      <c r="MIB30" s="1"/>
      <c r="MIC30" s="1"/>
      <c r="MID30" s="1"/>
      <c r="MIE30" s="1"/>
      <c r="MIF30" s="1"/>
      <c r="MIG30" s="1"/>
      <c r="MIH30" s="1"/>
      <c r="MII30" s="1"/>
      <c r="MIJ30" s="1"/>
      <c r="MIK30" s="1"/>
      <c r="MIL30" s="1"/>
      <c r="MIM30" s="1"/>
      <c r="MIN30" s="1"/>
      <c r="MIO30" s="1"/>
      <c r="MIP30" s="1"/>
      <c r="MIQ30" s="1"/>
      <c r="MIR30" s="1"/>
      <c r="MIS30" s="1"/>
      <c r="MIT30" s="1"/>
      <c r="MIU30" s="1"/>
      <c r="MIV30" s="1"/>
      <c r="MIW30" s="1"/>
      <c r="MIX30" s="1"/>
      <c r="MIY30" s="1"/>
      <c r="MIZ30" s="1"/>
      <c r="MJA30" s="1"/>
      <c r="MJB30" s="1"/>
      <c r="MJC30" s="1"/>
      <c r="MJD30" s="1"/>
      <c r="MJE30" s="1"/>
      <c r="MJF30" s="1"/>
      <c r="MJG30" s="1"/>
      <c r="MJH30" s="1"/>
      <c r="MJI30" s="1"/>
      <c r="MJJ30" s="1"/>
      <c r="MJK30" s="1"/>
      <c r="MJL30" s="1"/>
      <c r="MJM30" s="1"/>
      <c r="MJN30" s="1"/>
      <c r="MJO30" s="1"/>
      <c r="MJP30" s="1"/>
      <c r="MJQ30" s="1"/>
      <c r="MJR30" s="1"/>
      <c r="MJS30" s="1"/>
      <c r="MJT30" s="1"/>
      <c r="MJU30" s="1"/>
      <c r="MJV30" s="1"/>
      <c r="MJW30" s="1"/>
      <c r="MJX30" s="1"/>
      <c r="MJY30" s="1"/>
      <c r="MJZ30" s="1"/>
      <c r="MKA30" s="1"/>
      <c r="MKB30" s="1"/>
      <c r="MKC30" s="1"/>
      <c r="MKD30" s="1"/>
      <c r="MKE30" s="1"/>
      <c r="MKF30" s="1"/>
      <c r="MKG30" s="1"/>
      <c r="MKH30" s="1"/>
      <c r="MKI30" s="1"/>
      <c r="MKJ30" s="1"/>
      <c r="MKK30" s="1"/>
      <c r="MKL30" s="1"/>
      <c r="MKM30" s="1"/>
      <c r="MKN30" s="1"/>
      <c r="MKO30" s="1"/>
      <c r="MKP30" s="1"/>
      <c r="MKQ30" s="1"/>
      <c r="MKR30" s="1"/>
      <c r="MKS30" s="1"/>
      <c r="MKT30" s="1"/>
      <c r="MKU30" s="1"/>
      <c r="MKV30" s="1"/>
      <c r="MKW30" s="1"/>
      <c r="MKX30" s="1"/>
      <c r="MKY30" s="1"/>
      <c r="MKZ30" s="1"/>
      <c r="MLA30" s="1"/>
      <c r="MLB30" s="1"/>
      <c r="MLC30" s="1"/>
      <c r="MLD30" s="1"/>
      <c r="MLE30" s="1"/>
      <c r="MLF30" s="1"/>
      <c r="MLG30" s="1"/>
      <c r="MLH30" s="1"/>
      <c r="MLI30" s="1"/>
      <c r="MLJ30" s="1"/>
      <c r="MLK30" s="1"/>
      <c r="MLL30" s="1"/>
      <c r="MLM30" s="1"/>
      <c r="MLN30" s="1"/>
      <c r="MLO30" s="1"/>
      <c r="MLP30" s="1"/>
      <c r="MLQ30" s="1"/>
      <c r="MLR30" s="1"/>
      <c r="MLS30" s="1"/>
      <c r="MLT30" s="1"/>
      <c r="MLU30" s="1"/>
      <c r="MLV30" s="1"/>
      <c r="MLW30" s="1"/>
      <c r="MLX30" s="1"/>
      <c r="MLY30" s="1"/>
      <c r="MLZ30" s="1"/>
      <c r="MMA30" s="1"/>
      <c r="MMB30" s="1"/>
      <c r="MMC30" s="1"/>
      <c r="MMD30" s="1"/>
      <c r="MME30" s="1"/>
      <c r="MMF30" s="1"/>
      <c r="MMG30" s="1"/>
      <c r="MMH30" s="1"/>
      <c r="MMI30" s="1"/>
      <c r="MMJ30" s="1"/>
      <c r="MMK30" s="1"/>
      <c r="MML30" s="1"/>
      <c r="MMM30" s="1"/>
      <c r="MMN30" s="1"/>
      <c r="MMO30" s="1"/>
      <c r="MMP30" s="1"/>
      <c r="MMQ30" s="1"/>
      <c r="MMR30" s="1"/>
      <c r="MMS30" s="1"/>
      <c r="MMT30" s="1"/>
      <c r="MMU30" s="1"/>
      <c r="MMV30" s="1"/>
      <c r="MMW30" s="1"/>
      <c r="MMX30" s="1"/>
      <c r="MMY30" s="1"/>
      <c r="MMZ30" s="1"/>
      <c r="MNA30" s="1"/>
      <c r="MNB30" s="1"/>
      <c r="MNC30" s="1"/>
      <c r="MND30" s="1"/>
      <c r="MNE30" s="1"/>
      <c r="MNF30" s="1"/>
      <c r="MNG30" s="1"/>
      <c r="MNH30" s="1"/>
      <c r="MNI30" s="1"/>
      <c r="MNJ30" s="1"/>
      <c r="MNK30" s="1"/>
      <c r="MNL30" s="1"/>
      <c r="MNM30" s="1"/>
      <c r="MNN30" s="1"/>
      <c r="MNO30" s="1"/>
      <c r="MNP30" s="1"/>
      <c r="MNQ30" s="1"/>
      <c r="MNR30" s="1"/>
      <c r="MNS30" s="1"/>
      <c r="MNT30" s="1"/>
      <c r="MNU30" s="1"/>
      <c r="MNV30" s="1"/>
      <c r="MNW30" s="1"/>
      <c r="MNX30" s="1"/>
      <c r="MNY30" s="1"/>
      <c r="MNZ30" s="1"/>
      <c r="MOA30" s="1"/>
      <c r="MOB30" s="1"/>
      <c r="MOC30" s="1"/>
      <c r="MOD30" s="1"/>
      <c r="MOE30" s="1"/>
      <c r="MOF30" s="1"/>
      <c r="MOG30" s="1"/>
      <c r="MOH30" s="1"/>
      <c r="MOI30" s="1"/>
      <c r="MOJ30" s="1"/>
      <c r="MOK30" s="1"/>
      <c r="MOL30" s="1"/>
      <c r="MOM30" s="1"/>
      <c r="MON30" s="1"/>
      <c r="MOO30" s="1"/>
      <c r="MOP30" s="1"/>
      <c r="MOQ30" s="1"/>
      <c r="MOR30" s="1"/>
      <c r="MOS30" s="1"/>
      <c r="MOT30" s="1"/>
      <c r="MOU30" s="1"/>
      <c r="MOV30" s="1"/>
      <c r="MOW30" s="1"/>
      <c r="MOX30" s="1"/>
      <c r="MOY30" s="1"/>
      <c r="MOZ30" s="1"/>
      <c r="MPA30" s="1"/>
      <c r="MPB30" s="1"/>
      <c r="MPC30" s="1"/>
      <c r="MPD30" s="1"/>
      <c r="MPE30" s="1"/>
      <c r="MPF30" s="1"/>
      <c r="MPG30" s="1"/>
      <c r="MPH30" s="1"/>
      <c r="MPI30" s="1"/>
      <c r="MPJ30" s="1"/>
      <c r="MPK30" s="1"/>
      <c r="MPL30" s="1"/>
      <c r="MPM30" s="1"/>
      <c r="MPN30" s="1"/>
      <c r="MPO30" s="1"/>
      <c r="MPP30" s="1"/>
      <c r="MPQ30" s="1"/>
      <c r="MPR30" s="1"/>
      <c r="MPS30" s="1"/>
      <c r="MPT30" s="1"/>
      <c r="MPU30" s="1"/>
      <c r="MPV30" s="1"/>
      <c r="MPW30" s="1"/>
      <c r="MPX30" s="1"/>
      <c r="MPY30" s="1"/>
      <c r="MPZ30" s="1"/>
      <c r="MQA30" s="1"/>
      <c r="MQB30" s="1"/>
      <c r="MQC30" s="1"/>
      <c r="MQD30" s="1"/>
      <c r="MQE30" s="1"/>
      <c r="MQF30" s="1"/>
      <c r="MQG30" s="1"/>
      <c r="MQH30" s="1"/>
      <c r="MQI30" s="1"/>
      <c r="MQJ30" s="1"/>
      <c r="MQK30" s="1"/>
      <c r="MQL30" s="1"/>
      <c r="MQM30" s="1"/>
      <c r="MQN30" s="1"/>
      <c r="MQO30" s="1"/>
      <c r="MQP30" s="1"/>
      <c r="MQQ30" s="1"/>
      <c r="MQR30" s="1"/>
      <c r="MQS30" s="1"/>
      <c r="MQT30" s="1"/>
      <c r="MQU30" s="1"/>
      <c r="MQV30" s="1"/>
      <c r="MQW30" s="1"/>
      <c r="MQX30" s="1"/>
      <c r="MQY30" s="1"/>
      <c r="MQZ30" s="1"/>
      <c r="MRA30" s="1"/>
      <c r="MRB30" s="1"/>
      <c r="MRC30" s="1"/>
      <c r="MRD30" s="1"/>
      <c r="MRE30" s="1"/>
      <c r="MRF30" s="1"/>
      <c r="MRG30" s="1"/>
      <c r="MRH30" s="1"/>
      <c r="MRI30" s="1"/>
      <c r="MRJ30" s="1"/>
      <c r="MRK30" s="1"/>
      <c r="MRL30" s="1"/>
      <c r="MRM30" s="1"/>
      <c r="MRN30" s="1"/>
      <c r="MRO30" s="1"/>
      <c r="MRP30" s="1"/>
      <c r="MRQ30" s="1"/>
      <c r="MRR30" s="1"/>
      <c r="MRS30" s="1"/>
      <c r="MRT30" s="1"/>
      <c r="MRU30" s="1"/>
      <c r="MRV30" s="1"/>
      <c r="MRW30" s="1"/>
      <c r="MRX30" s="1"/>
      <c r="MRY30" s="1"/>
      <c r="MRZ30" s="1"/>
      <c r="MSA30" s="1"/>
      <c r="MSB30" s="1"/>
      <c r="MSC30" s="1"/>
      <c r="MSD30" s="1"/>
      <c r="MSE30" s="1"/>
      <c r="MSF30" s="1"/>
      <c r="MSG30" s="1"/>
      <c r="MSH30" s="1"/>
      <c r="MSI30" s="1"/>
      <c r="MSJ30" s="1"/>
      <c r="MSK30" s="1"/>
      <c r="MSL30" s="1"/>
      <c r="MSM30" s="1"/>
      <c r="MSN30" s="1"/>
      <c r="MSO30" s="1"/>
      <c r="MSP30" s="1"/>
      <c r="MSQ30" s="1"/>
      <c r="MSR30" s="1"/>
      <c r="MSS30" s="1"/>
      <c r="MST30" s="1"/>
      <c r="MSU30" s="1"/>
      <c r="MSV30" s="1"/>
      <c r="MSW30" s="1"/>
      <c r="MSX30" s="1"/>
      <c r="MSY30" s="1"/>
      <c r="MSZ30" s="1"/>
      <c r="MTA30" s="1"/>
      <c r="MTB30" s="1"/>
      <c r="MTC30" s="1"/>
      <c r="MTD30" s="1"/>
      <c r="MTE30" s="1"/>
      <c r="MTF30" s="1"/>
      <c r="MTG30" s="1"/>
      <c r="MTH30" s="1"/>
      <c r="MTI30" s="1"/>
      <c r="MTJ30" s="1"/>
      <c r="MTK30" s="1"/>
      <c r="MTL30" s="1"/>
      <c r="MTM30" s="1"/>
      <c r="MTN30" s="1"/>
      <c r="MTO30" s="1"/>
      <c r="MTP30" s="1"/>
      <c r="MTQ30" s="1"/>
      <c r="MTR30" s="1"/>
      <c r="MTS30" s="1"/>
      <c r="MTT30" s="1"/>
      <c r="MTU30" s="1"/>
      <c r="MTV30" s="1"/>
      <c r="MTW30" s="1"/>
      <c r="MTX30" s="1"/>
      <c r="MTY30" s="1"/>
      <c r="MTZ30" s="1"/>
      <c r="MUA30" s="1"/>
      <c r="MUB30" s="1"/>
      <c r="MUC30" s="1"/>
      <c r="MUD30" s="1"/>
      <c r="MUE30" s="1"/>
      <c r="MUF30" s="1"/>
      <c r="MUG30" s="1"/>
      <c r="MUH30" s="1"/>
      <c r="MUI30" s="1"/>
      <c r="MUJ30" s="1"/>
      <c r="MUK30" s="1"/>
      <c r="MUL30" s="1"/>
      <c r="MUM30" s="1"/>
      <c r="MUN30" s="1"/>
      <c r="MUO30" s="1"/>
      <c r="MUP30" s="1"/>
      <c r="MUQ30" s="1"/>
      <c r="MUR30" s="1"/>
      <c r="MUS30" s="1"/>
      <c r="MUT30" s="1"/>
      <c r="MUU30" s="1"/>
      <c r="MUV30" s="1"/>
      <c r="MUW30" s="1"/>
      <c r="MUX30" s="1"/>
      <c r="MUY30" s="1"/>
      <c r="MUZ30" s="1"/>
      <c r="MVA30" s="1"/>
      <c r="MVB30" s="1"/>
      <c r="MVC30" s="1"/>
      <c r="MVD30" s="1"/>
      <c r="MVE30" s="1"/>
      <c r="MVF30" s="1"/>
      <c r="MVG30" s="1"/>
      <c r="MVH30" s="1"/>
      <c r="MVI30" s="1"/>
      <c r="MVJ30" s="1"/>
      <c r="MVK30" s="1"/>
      <c r="MVL30" s="1"/>
      <c r="MVM30" s="1"/>
      <c r="MVN30" s="1"/>
      <c r="MVO30" s="1"/>
      <c r="MVP30" s="1"/>
      <c r="MVQ30" s="1"/>
      <c r="MVR30" s="1"/>
      <c r="MVS30" s="1"/>
      <c r="MVT30" s="1"/>
      <c r="MVU30" s="1"/>
      <c r="MVV30" s="1"/>
      <c r="MVW30" s="1"/>
      <c r="MVX30" s="1"/>
      <c r="MVY30" s="1"/>
      <c r="MVZ30" s="1"/>
      <c r="MWA30" s="1"/>
      <c r="MWB30" s="1"/>
      <c r="MWC30" s="1"/>
      <c r="MWD30" s="1"/>
      <c r="MWE30" s="1"/>
      <c r="MWF30" s="1"/>
      <c r="MWG30" s="1"/>
      <c r="MWH30" s="1"/>
      <c r="MWI30" s="1"/>
      <c r="MWJ30" s="1"/>
      <c r="MWK30" s="1"/>
      <c r="MWL30" s="1"/>
      <c r="MWM30" s="1"/>
      <c r="MWN30" s="1"/>
      <c r="MWO30" s="1"/>
      <c r="MWP30" s="1"/>
      <c r="MWQ30" s="1"/>
      <c r="MWR30" s="1"/>
      <c r="MWS30" s="1"/>
      <c r="MWT30" s="1"/>
      <c r="MWU30" s="1"/>
      <c r="MWV30" s="1"/>
      <c r="MWW30" s="1"/>
      <c r="MWX30" s="1"/>
      <c r="MWY30" s="1"/>
      <c r="MWZ30" s="1"/>
      <c r="MXA30" s="1"/>
      <c r="MXB30" s="1"/>
      <c r="MXC30" s="1"/>
      <c r="MXD30" s="1"/>
      <c r="MXE30" s="1"/>
      <c r="MXF30" s="1"/>
      <c r="MXG30" s="1"/>
      <c r="MXH30" s="1"/>
      <c r="MXI30" s="1"/>
      <c r="MXJ30" s="1"/>
      <c r="MXK30" s="1"/>
      <c r="MXL30" s="1"/>
      <c r="MXM30" s="1"/>
      <c r="MXN30" s="1"/>
      <c r="MXO30" s="1"/>
      <c r="MXP30" s="1"/>
      <c r="MXQ30" s="1"/>
      <c r="MXR30" s="1"/>
      <c r="MXS30" s="1"/>
      <c r="MXT30" s="1"/>
      <c r="MXU30" s="1"/>
      <c r="MXV30" s="1"/>
      <c r="MXW30" s="1"/>
      <c r="MXX30" s="1"/>
      <c r="MXY30" s="1"/>
      <c r="MXZ30" s="1"/>
      <c r="MYA30" s="1"/>
      <c r="MYB30" s="1"/>
      <c r="MYC30" s="1"/>
      <c r="MYD30" s="1"/>
      <c r="MYE30" s="1"/>
      <c r="MYF30" s="1"/>
      <c r="MYG30" s="1"/>
      <c r="MYH30" s="1"/>
      <c r="MYI30" s="1"/>
      <c r="MYJ30" s="1"/>
      <c r="MYK30" s="1"/>
      <c r="MYL30" s="1"/>
      <c r="MYM30" s="1"/>
      <c r="MYN30" s="1"/>
      <c r="MYO30" s="1"/>
      <c r="MYP30" s="1"/>
      <c r="MYQ30" s="1"/>
      <c r="MYR30" s="1"/>
      <c r="MYS30" s="1"/>
      <c r="MYT30" s="1"/>
      <c r="MYU30" s="1"/>
      <c r="MYV30" s="1"/>
      <c r="MYW30" s="1"/>
      <c r="MYX30" s="1"/>
      <c r="MYY30" s="1"/>
      <c r="MYZ30" s="1"/>
      <c r="MZA30" s="1"/>
      <c r="MZB30" s="1"/>
      <c r="MZC30" s="1"/>
      <c r="MZD30" s="1"/>
      <c r="MZE30" s="1"/>
      <c r="MZF30" s="1"/>
      <c r="MZG30" s="1"/>
      <c r="MZH30" s="1"/>
      <c r="MZI30" s="1"/>
      <c r="MZJ30" s="1"/>
      <c r="MZK30" s="1"/>
      <c r="MZL30" s="1"/>
      <c r="MZM30" s="1"/>
      <c r="MZN30" s="1"/>
      <c r="MZO30" s="1"/>
      <c r="MZP30" s="1"/>
      <c r="MZQ30" s="1"/>
      <c r="MZR30" s="1"/>
      <c r="MZS30" s="1"/>
      <c r="MZT30" s="1"/>
      <c r="MZU30" s="1"/>
      <c r="MZV30" s="1"/>
      <c r="MZW30" s="1"/>
      <c r="MZX30" s="1"/>
      <c r="MZY30" s="1"/>
      <c r="MZZ30" s="1"/>
      <c r="NAA30" s="1"/>
      <c r="NAB30" s="1"/>
      <c r="NAC30" s="1"/>
      <c r="NAD30" s="1"/>
      <c r="NAE30" s="1"/>
      <c r="NAF30" s="1"/>
      <c r="NAG30" s="1"/>
      <c r="NAH30" s="1"/>
      <c r="NAI30" s="1"/>
      <c r="NAJ30" s="1"/>
      <c r="NAK30" s="1"/>
      <c r="NAL30" s="1"/>
      <c r="NAM30" s="1"/>
      <c r="NAN30" s="1"/>
      <c r="NAO30" s="1"/>
      <c r="NAP30" s="1"/>
      <c r="NAQ30" s="1"/>
      <c r="NAR30" s="1"/>
      <c r="NAS30" s="1"/>
      <c r="NAT30" s="1"/>
      <c r="NAU30" s="1"/>
      <c r="NAV30" s="1"/>
      <c r="NAW30" s="1"/>
      <c r="NAX30" s="1"/>
      <c r="NAY30" s="1"/>
      <c r="NAZ30" s="1"/>
      <c r="NBA30" s="1"/>
      <c r="NBB30" s="1"/>
      <c r="NBC30" s="1"/>
      <c r="NBD30" s="1"/>
      <c r="NBE30" s="1"/>
      <c r="NBF30" s="1"/>
      <c r="NBG30" s="1"/>
      <c r="NBH30" s="1"/>
      <c r="NBI30" s="1"/>
      <c r="NBJ30" s="1"/>
      <c r="NBK30" s="1"/>
      <c r="NBL30" s="1"/>
      <c r="NBM30" s="1"/>
      <c r="NBN30" s="1"/>
      <c r="NBO30" s="1"/>
      <c r="NBP30" s="1"/>
      <c r="NBQ30" s="1"/>
      <c r="NBR30" s="1"/>
      <c r="NBS30" s="1"/>
      <c r="NBT30" s="1"/>
      <c r="NBU30" s="1"/>
      <c r="NBV30" s="1"/>
      <c r="NBW30" s="1"/>
      <c r="NBX30" s="1"/>
      <c r="NBY30" s="1"/>
      <c r="NBZ30" s="1"/>
      <c r="NCA30" s="1"/>
      <c r="NCB30" s="1"/>
      <c r="NCC30" s="1"/>
      <c r="NCD30" s="1"/>
      <c r="NCE30" s="1"/>
      <c r="NCF30" s="1"/>
      <c r="NCG30" s="1"/>
      <c r="NCH30" s="1"/>
      <c r="NCI30" s="1"/>
      <c r="NCJ30" s="1"/>
      <c r="NCK30" s="1"/>
      <c r="NCL30" s="1"/>
      <c r="NCM30" s="1"/>
      <c r="NCN30" s="1"/>
      <c r="NCO30" s="1"/>
      <c r="NCP30" s="1"/>
      <c r="NCQ30" s="1"/>
      <c r="NCR30" s="1"/>
      <c r="NCS30" s="1"/>
      <c r="NCT30" s="1"/>
      <c r="NCU30" s="1"/>
      <c r="NCV30" s="1"/>
      <c r="NCW30" s="1"/>
      <c r="NCX30" s="1"/>
      <c r="NCY30" s="1"/>
      <c r="NCZ30" s="1"/>
      <c r="NDA30" s="1"/>
      <c r="NDB30" s="1"/>
      <c r="NDC30" s="1"/>
      <c r="NDD30" s="1"/>
      <c r="NDE30" s="1"/>
      <c r="NDF30" s="1"/>
      <c r="NDG30" s="1"/>
      <c r="NDH30" s="1"/>
      <c r="NDI30" s="1"/>
      <c r="NDJ30" s="1"/>
      <c r="NDK30" s="1"/>
      <c r="NDL30" s="1"/>
      <c r="NDM30" s="1"/>
      <c r="NDN30" s="1"/>
      <c r="NDO30" s="1"/>
      <c r="NDP30" s="1"/>
      <c r="NDQ30" s="1"/>
      <c r="NDR30" s="1"/>
      <c r="NDS30" s="1"/>
      <c r="NDT30" s="1"/>
      <c r="NDU30" s="1"/>
      <c r="NDV30" s="1"/>
      <c r="NDW30" s="1"/>
      <c r="NDX30" s="1"/>
      <c r="NDY30" s="1"/>
      <c r="NDZ30" s="1"/>
      <c r="NEA30" s="1"/>
      <c r="NEB30" s="1"/>
      <c r="NEC30" s="1"/>
      <c r="NED30" s="1"/>
      <c r="NEE30" s="1"/>
      <c r="NEF30" s="1"/>
      <c r="NEG30" s="1"/>
      <c r="NEH30" s="1"/>
      <c r="NEI30" s="1"/>
      <c r="NEJ30" s="1"/>
      <c r="NEK30" s="1"/>
      <c r="NEL30" s="1"/>
      <c r="NEM30" s="1"/>
      <c r="NEN30" s="1"/>
      <c r="NEO30" s="1"/>
      <c r="NEP30" s="1"/>
      <c r="NEQ30" s="1"/>
      <c r="NER30" s="1"/>
      <c r="NES30" s="1"/>
      <c r="NET30" s="1"/>
      <c r="NEU30" s="1"/>
      <c r="NEV30" s="1"/>
      <c r="NEW30" s="1"/>
      <c r="NEX30" s="1"/>
      <c r="NEY30" s="1"/>
      <c r="NEZ30" s="1"/>
      <c r="NFA30" s="1"/>
      <c r="NFB30" s="1"/>
      <c r="NFC30" s="1"/>
      <c r="NFD30" s="1"/>
      <c r="NFE30" s="1"/>
      <c r="NFF30" s="1"/>
      <c r="NFG30" s="1"/>
      <c r="NFH30" s="1"/>
      <c r="NFI30" s="1"/>
      <c r="NFJ30" s="1"/>
      <c r="NFK30" s="1"/>
      <c r="NFL30" s="1"/>
      <c r="NFM30" s="1"/>
      <c r="NFN30" s="1"/>
      <c r="NFO30" s="1"/>
      <c r="NFP30" s="1"/>
      <c r="NFQ30" s="1"/>
      <c r="NFR30" s="1"/>
      <c r="NFS30" s="1"/>
      <c r="NFT30" s="1"/>
      <c r="NFU30" s="1"/>
      <c r="NFV30" s="1"/>
      <c r="NFW30" s="1"/>
      <c r="NFX30" s="1"/>
      <c r="NFY30" s="1"/>
      <c r="NFZ30" s="1"/>
      <c r="NGA30" s="1"/>
      <c r="NGB30" s="1"/>
      <c r="NGC30" s="1"/>
      <c r="NGD30" s="1"/>
      <c r="NGE30" s="1"/>
      <c r="NGF30" s="1"/>
      <c r="NGG30" s="1"/>
      <c r="NGH30" s="1"/>
      <c r="NGI30" s="1"/>
      <c r="NGJ30" s="1"/>
      <c r="NGK30" s="1"/>
      <c r="NGL30" s="1"/>
      <c r="NGM30" s="1"/>
      <c r="NGN30" s="1"/>
      <c r="NGO30" s="1"/>
      <c r="NGP30" s="1"/>
      <c r="NGQ30" s="1"/>
      <c r="NGR30" s="1"/>
      <c r="NGS30" s="1"/>
      <c r="NGT30" s="1"/>
      <c r="NGU30" s="1"/>
      <c r="NGV30" s="1"/>
      <c r="NGW30" s="1"/>
      <c r="NGX30" s="1"/>
      <c r="NGY30" s="1"/>
      <c r="NGZ30" s="1"/>
      <c r="NHA30" s="1"/>
      <c r="NHB30" s="1"/>
      <c r="NHC30" s="1"/>
      <c r="NHD30" s="1"/>
      <c r="NHE30" s="1"/>
      <c r="NHF30" s="1"/>
      <c r="NHG30" s="1"/>
      <c r="NHH30" s="1"/>
      <c r="NHI30" s="1"/>
      <c r="NHJ30" s="1"/>
      <c r="NHK30" s="1"/>
      <c r="NHL30" s="1"/>
      <c r="NHM30" s="1"/>
      <c r="NHN30" s="1"/>
      <c r="NHO30" s="1"/>
      <c r="NHP30" s="1"/>
      <c r="NHQ30" s="1"/>
      <c r="NHR30" s="1"/>
      <c r="NHS30" s="1"/>
      <c r="NHT30" s="1"/>
      <c r="NHU30" s="1"/>
      <c r="NHV30" s="1"/>
      <c r="NHW30" s="1"/>
      <c r="NHX30" s="1"/>
      <c r="NHY30" s="1"/>
      <c r="NHZ30" s="1"/>
      <c r="NIA30" s="1"/>
      <c r="NIB30" s="1"/>
      <c r="NIC30" s="1"/>
      <c r="NID30" s="1"/>
      <c r="NIE30" s="1"/>
      <c r="NIF30" s="1"/>
      <c r="NIG30" s="1"/>
      <c r="NIH30" s="1"/>
      <c r="NII30" s="1"/>
      <c r="NIJ30" s="1"/>
      <c r="NIK30" s="1"/>
      <c r="NIL30" s="1"/>
      <c r="NIM30" s="1"/>
      <c r="NIN30" s="1"/>
      <c r="NIO30" s="1"/>
      <c r="NIP30" s="1"/>
      <c r="NIQ30" s="1"/>
      <c r="NIR30" s="1"/>
      <c r="NIS30" s="1"/>
      <c r="NIT30" s="1"/>
      <c r="NIU30" s="1"/>
      <c r="NIV30" s="1"/>
      <c r="NIW30" s="1"/>
      <c r="NIX30" s="1"/>
      <c r="NIY30" s="1"/>
      <c r="NIZ30" s="1"/>
      <c r="NJA30" s="1"/>
      <c r="NJB30" s="1"/>
      <c r="NJC30" s="1"/>
      <c r="NJD30" s="1"/>
      <c r="NJE30" s="1"/>
      <c r="NJF30" s="1"/>
      <c r="NJG30" s="1"/>
      <c r="NJH30" s="1"/>
      <c r="NJI30" s="1"/>
      <c r="NJJ30" s="1"/>
      <c r="NJK30" s="1"/>
      <c r="NJL30" s="1"/>
      <c r="NJM30" s="1"/>
      <c r="NJN30" s="1"/>
      <c r="NJO30" s="1"/>
      <c r="NJP30" s="1"/>
      <c r="NJQ30" s="1"/>
      <c r="NJR30" s="1"/>
      <c r="NJS30" s="1"/>
      <c r="NJT30" s="1"/>
      <c r="NJU30" s="1"/>
      <c r="NJV30" s="1"/>
      <c r="NJW30" s="1"/>
      <c r="NJX30" s="1"/>
      <c r="NJY30" s="1"/>
      <c r="NJZ30" s="1"/>
      <c r="NKA30" s="1"/>
      <c r="NKB30" s="1"/>
      <c r="NKC30" s="1"/>
      <c r="NKD30" s="1"/>
      <c r="NKE30" s="1"/>
      <c r="NKF30" s="1"/>
      <c r="NKG30" s="1"/>
      <c r="NKH30" s="1"/>
      <c r="NKI30" s="1"/>
      <c r="NKJ30" s="1"/>
      <c r="NKK30" s="1"/>
      <c r="NKL30" s="1"/>
      <c r="NKM30" s="1"/>
      <c r="NKN30" s="1"/>
      <c r="NKO30" s="1"/>
      <c r="NKP30" s="1"/>
      <c r="NKQ30" s="1"/>
      <c r="NKR30" s="1"/>
      <c r="NKS30" s="1"/>
      <c r="NKT30" s="1"/>
      <c r="NKU30" s="1"/>
      <c r="NKV30" s="1"/>
      <c r="NKW30" s="1"/>
      <c r="NKX30" s="1"/>
      <c r="NKY30" s="1"/>
      <c r="NKZ30" s="1"/>
      <c r="NLA30" s="1"/>
      <c r="NLB30" s="1"/>
      <c r="NLC30" s="1"/>
      <c r="NLD30" s="1"/>
      <c r="NLE30" s="1"/>
      <c r="NLF30" s="1"/>
      <c r="NLG30" s="1"/>
      <c r="NLH30" s="1"/>
      <c r="NLI30" s="1"/>
      <c r="NLJ30" s="1"/>
      <c r="NLK30" s="1"/>
      <c r="NLL30" s="1"/>
      <c r="NLM30" s="1"/>
      <c r="NLN30" s="1"/>
      <c r="NLO30" s="1"/>
      <c r="NLP30" s="1"/>
      <c r="NLQ30" s="1"/>
      <c r="NLR30" s="1"/>
      <c r="NLS30" s="1"/>
      <c r="NLT30" s="1"/>
      <c r="NLU30" s="1"/>
      <c r="NLV30" s="1"/>
      <c r="NLW30" s="1"/>
      <c r="NLX30" s="1"/>
      <c r="NLY30" s="1"/>
      <c r="NLZ30" s="1"/>
      <c r="NMA30" s="1"/>
      <c r="NMB30" s="1"/>
      <c r="NMC30" s="1"/>
      <c r="NMD30" s="1"/>
      <c r="NME30" s="1"/>
      <c r="NMF30" s="1"/>
      <c r="NMG30" s="1"/>
      <c r="NMH30" s="1"/>
      <c r="NMI30" s="1"/>
      <c r="NMJ30" s="1"/>
      <c r="NMK30" s="1"/>
      <c r="NML30" s="1"/>
      <c r="NMM30" s="1"/>
      <c r="NMN30" s="1"/>
      <c r="NMO30" s="1"/>
      <c r="NMP30" s="1"/>
      <c r="NMQ30" s="1"/>
      <c r="NMR30" s="1"/>
      <c r="NMS30" s="1"/>
      <c r="NMT30" s="1"/>
      <c r="NMU30" s="1"/>
      <c r="NMV30" s="1"/>
      <c r="NMW30" s="1"/>
      <c r="NMX30" s="1"/>
      <c r="NMY30" s="1"/>
      <c r="NMZ30" s="1"/>
      <c r="NNA30" s="1"/>
      <c r="NNB30" s="1"/>
      <c r="NNC30" s="1"/>
      <c r="NND30" s="1"/>
      <c r="NNE30" s="1"/>
      <c r="NNF30" s="1"/>
      <c r="NNG30" s="1"/>
      <c r="NNH30" s="1"/>
      <c r="NNI30" s="1"/>
      <c r="NNJ30" s="1"/>
      <c r="NNK30" s="1"/>
      <c r="NNL30" s="1"/>
      <c r="NNM30" s="1"/>
      <c r="NNN30" s="1"/>
      <c r="NNO30" s="1"/>
      <c r="NNP30" s="1"/>
      <c r="NNQ30" s="1"/>
      <c r="NNR30" s="1"/>
      <c r="NNS30" s="1"/>
      <c r="NNT30" s="1"/>
      <c r="NNU30" s="1"/>
      <c r="NNV30" s="1"/>
      <c r="NNW30" s="1"/>
      <c r="NNX30" s="1"/>
      <c r="NNY30" s="1"/>
      <c r="NNZ30" s="1"/>
      <c r="NOA30" s="1"/>
      <c r="NOB30" s="1"/>
      <c r="NOC30" s="1"/>
      <c r="NOD30" s="1"/>
      <c r="NOE30" s="1"/>
      <c r="NOF30" s="1"/>
      <c r="NOG30" s="1"/>
      <c r="NOH30" s="1"/>
      <c r="NOI30" s="1"/>
      <c r="NOJ30" s="1"/>
      <c r="NOK30" s="1"/>
      <c r="NOL30" s="1"/>
      <c r="NOM30" s="1"/>
      <c r="NON30" s="1"/>
      <c r="NOO30" s="1"/>
      <c r="NOP30" s="1"/>
      <c r="NOQ30" s="1"/>
      <c r="NOR30" s="1"/>
      <c r="NOS30" s="1"/>
      <c r="NOT30" s="1"/>
      <c r="NOU30" s="1"/>
      <c r="NOV30" s="1"/>
      <c r="NOW30" s="1"/>
      <c r="NOX30" s="1"/>
      <c r="NOY30" s="1"/>
      <c r="NOZ30" s="1"/>
      <c r="NPA30" s="1"/>
      <c r="NPB30" s="1"/>
      <c r="NPC30" s="1"/>
      <c r="NPD30" s="1"/>
      <c r="NPE30" s="1"/>
      <c r="NPF30" s="1"/>
      <c r="NPG30" s="1"/>
      <c r="NPH30" s="1"/>
      <c r="NPI30" s="1"/>
      <c r="NPJ30" s="1"/>
      <c r="NPK30" s="1"/>
      <c r="NPL30" s="1"/>
      <c r="NPM30" s="1"/>
      <c r="NPN30" s="1"/>
      <c r="NPO30" s="1"/>
      <c r="NPP30" s="1"/>
      <c r="NPQ30" s="1"/>
      <c r="NPR30" s="1"/>
      <c r="NPS30" s="1"/>
      <c r="NPT30" s="1"/>
      <c r="NPU30" s="1"/>
      <c r="NPV30" s="1"/>
      <c r="NPW30" s="1"/>
      <c r="NPX30" s="1"/>
      <c r="NPY30" s="1"/>
      <c r="NPZ30" s="1"/>
      <c r="NQA30" s="1"/>
      <c r="NQB30" s="1"/>
      <c r="NQC30" s="1"/>
      <c r="NQD30" s="1"/>
      <c r="NQE30" s="1"/>
      <c r="NQF30" s="1"/>
      <c r="NQG30" s="1"/>
      <c r="NQH30" s="1"/>
      <c r="NQI30" s="1"/>
      <c r="NQJ30" s="1"/>
      <c r="NQK30" s="1"/>
      <c r="NQL30" s="1"/>
      <c r="NQM30" s="1"/>
      <c r="NQN30" s="1"/>
      <c r="NQO30" s="1"/>
      <c r="NQP30" s="1"/>
      <c r="NQQ30" s="1"/>
      <c r="NQR30" s="1"/>
      <c r="NQS30" s="1"/>
      <c r="NQT30" s="1"/>
      <c r="NQU30" s="1"/>
      <c r="NQV30" s="1"/>
      <c r="NQW30" s="1"/>
      <c r="NQX30" s="1"/>
      <c r="NQY30" s="1"/>
      <c r="NQZ30" s="1"/>
      <c r="NRA30" s="1"/>
      <c r="NRB30" s="1"/>
      <c r="NRC30" s="1"/>
      <c r="NRD30" s="1"/>
      <c r="NRE30" s="1"/>
      <c r="NRF30" s="1"/>
      <c r="NRG30" s="1"/>
      <c r="NRH30" s="1"/>
      <c r="NRI30" s="1"/>
      <c r="NRJ30" s="1"/>
      <c r="NRK30" s="1"/>
      <c r="NRL30" s="1"/>
      <c r="NRM30" s="1"/>
      <c r="NRN30" s="1"/>
      <c r="NRO30" s="1"/>
      <c r="NRP30" s="1"/>
      <c r="NRQ30" s="1"/>
      <c r="NRR30" s="1"/>
      <c r="NRS30" s="1"/>
      <c r="NRT30" s="1"/>
      <c r="NRU30" s="1"/>
      <c r="NRV30" s="1"/>
      <c r="NRW30" s="1"/>
      <c r="NRX30" s="1"/>
      <c r="NRY30" s="1"/>
      <c r="NRZ30" s="1"/>
      <c r="NSA30" s="1"/>
      <c r="NSB30" s="1"/>
      <c r="NSC30" s="1"/>
      <c r="NSD30" s="1"/>
      <c r="NSE30" s="1"/>
      <c r="NSF30" s="1"/>
      <c r="NSG30" s="1"/>
      <c r="NSH30" s="1"/>
      <c r="NSI30" s="1"/>
      <c r="NSJ30" s="1"/>
      <c r="NSK30" s="1"/>
      <c r="NSL30" s="1"/>
      <c r="NSM30" s="1"/>
      <c r="NSN30" s="1"/>
      <c r="NSO30" s="1"/>
      <c r="NSP30" s="1"/>
      <c r="NSQ30" s="1"/>
      <c r="NSR30" s="1"/>
      <c r="NSS30" s="1"/>
      <c r="NST30" s="1"/>
      <c r="NSU30" s="1"/>
      <c r="NSV30" s="1"/>
      <c r="NSW30" s="1"/>
      <c r="NSX30" s="1"/>
      <c r="NSY30" s="1"/>
      <c r="NSZ30" s="1"/>
      <c r="NTA30" s="1"/>
      <c r="NTB30" s="1"/>
      <c r="NTC30" s="1"/>
      <c r="NTD30" s="1"/>
      <c r="NTE30" s="1"/>
      <c r="NTF30" s="1"/>
      <c r="NTG30" s="1"/>
      <c r="NTH30" s="1"/>
      <c r="NTI30" s="1"/>
      <c r="NTJ30" s="1"/>
      <c r="NTK30" s="1"/>
      <c r="NTL30" s="1"/>
      <c r="NTM30" s="1"/>
      <c r="NTN30" s="1"/>
      <c r="NTO30" s="1"/>
      <c r="NTP30" s="1"/>
      <c r="NTQ30" s="1"/>
      <c r="NTR30" s="1"/>
      <c r="NTS30" s="1"/>
      <c r="NTT30" s="1"/>
      <c r="NTU30" s="1"/>
      <c r="NTV30" s="1"/>
      <c r="NTW30" s="1"/>
      <c r="NTX30" s="1"/>
      <c r="NTY30" s="1"/>
      <c r="NTZ30" s="1"/>
      <c r="NUA30" s="1"/>
      <c r="NUB30" s="1"/>
      <c r="NUC30" s="1"/>
      <c r="NUD30" s="1"/>
      <c r="NUE30" s="1"/>
      <c r="NUF30" s="1"/>
      <c r="NUG30" s="1"/>
      <c r="NUH30" s="1"/>
      <c r="NUI30" s="1"/>
      <c r="NUJ30" s="1"/>
      <c r="NUK30" s="1"/>
      <c r="NUL30" s="1"/>
      <c r="NUM30" s="1"/>
      <c r="NUN30" s="1"/>
      <c r="NUO30" s="1"/>
      <c r="NUP30" s="1"/>
      <c r="NUQ30" s="1"/>
      <c r="NUR30" s="1"/>
      <c r="NUS30" s="1"/>
      <c r="NUT30" s="1"/>
      <c r="NUU30" s="1"/>
      <c r="NUV30" s="1"/>
      <c r="NUW30" s="1"/>
      <c r="NUX30" s="1"/>
      <c r="NUY30" s="1"/>
      <c r="NUZ30" s="1"/>
      <c r="NVA30" s="1"/>
      <c r="NVB30" s="1"/>
      <c r="NVC30" s="1"/>
      <c r="NVD30" s="1"/>
      <c r="NVE30" s="1"/>
      <c r="NVF30" s="1"/>
      <c r="NVG30" s="1"/>
      <c r="NVH30" s="1"/>
      <c r="NVI30" s="1"/>
      <c r="NVJ30" s="1"/>
      <c r="NVK30" s="1"/>
      <c r="NVL30" s="1"/>
      <c r="NVM30" s="1"/>
      <c r="NVN30" s="1"/>
      <c r="NVO30" s="1"/>
      <c r="NVP30" s="1"/>
      <c r="NVQ30" s="1"/>
      <c r="NVR30" s="1"/>
      <c r="NVS30" s="1"/>
      <c r="NVT30" s="1"/>
      <c r="NVU30" s="1"/>
      <c r="NVV30" s="1"/>
      <c r="NVW30" s="1"/>
      <c r="NVX30" s="1"/>
      <c r="NVY30" s="1"/>
      <c r="NVZ30" s="1"/>
      <c r="NWA30" s="1"/>
      <c r="NWB30" s="1"/>
      <c r="NWC30" s="1"/>
      <c r="NWD30" s="1"/>
      <c r="NWE30" s="1"/>
      <c r="NWF30" s="1"/>
      <c r="NWG30" s="1"/>
      <c r="NWH30" s="1"/>
      <c r="NWI30" s="1"/>
      <c r="NWJ30" s="1"/>
      <c r="NWK30" s="1"/>
      <c r="NWL30" s="1"/>
      <c r="NWM30" s="1"/>
      <c r="NWN30" s="1"/>
      <c r="NWO30" s="1"/>
      <c r="NWP30" s="1"/>
      <c r="NWQ30" s="1"/>
      <c r="NWR30" s="1"/>
      <c r="NWS30" s="1"/>
      <c r="NWT30" s="1"/>
      <c r="NWU30" s="1"/>
      <c r="NWV30" s="1"/>
      <c r="NWW30" s="1"/>
      <c r="NWX30" s="1"/>
      <c r="NWY30" s="1"/>
      <c r="NWZ30" s="1"/>
      <c r="NXA30" s="1"/>
      <c r="NXB30" s="1"/>
      <c r="NXC30" s="1"/>
      <c r="NXD30" s="1"/>
      <c r="NXE30" s="1"/>
      <c r="NXF30" s="1"/>
      <c r="NXG30" s="1"/>
      <c r="NXH30" s="1"/>
      <c r="NXI30" s="1"/>
      <c r="NXJ30" s="1"/>
      <c r="NXK30" s="1"/>
      <c r="NXL30" s="1"/>
      <c r="NXM30" s="1"/>
      <c r="NXN30" s="1"/>
      <c r="NXO30" s="1"/>
      <c r="NXP30" s="1"/>
      <c r="NXQ30" s="1"/>
      <c r="NXR30" s="1"/>
      <c r="NXS30" s="1"/>
      <c r="NXT30" s="1"/>
      <c r="NXU30" s="1"/>
      <c r="NXV30" s="1"/>
      <c r="NXW30" s="1"/>
      <c r="NXX30" s="1"/>
      <c r="NXY30" s="1"/>
      <c r="NXZ30" s="1"/>
      <c r="NYA30" s="1"/>
      <c r="NYB30" s="1"/>
      <c r="NYC30" s="1"/>
      <c r="NYD30" s="1"/>
      <c r="NYE30" s="1"/>
      <c r="NYF30" s="1"/>
      <c r="NYG30" s="1"/>
      <c r="NYH30" s="1"/>
      <c r="NYI30" s="1"/>
      <c r="NYJ30" s="1"/>
      <c r="NYK30" s="1"/>
      <c r="NYL30" s="1"/>
      <c r="NYM30" s="1"/>
      <c r="NYN30" s="1"/>
      <c r="NYO30" s="1"/>
      <c r="NYP30" s="1"/>
      <c r="NYQ30" s="1"/>
      <c r="NYR30" s="1"/>
      <c r="NYS30" s="1"/>
      <c r="NYT30" s="1"/>
      <c r="NYU30" s="1"/>
      <c r="NYV30" s="1"/>
      <c r="NYW30" s="1"/>
      <c r="NYX30" s="1"/>
      <c r="NYY30" s="1"/>
      <c r="NYZ30" s="1"/>
      <c r="NZA30" s="1"/>
      <c r="NZB30" s="1"/>
      <c r="NZC30" s="1"/>
      <c r="NZD30" s="1"/>
      <c r="NZE30" s="1"/>
      <c r="NZF30" s="1"/>
      <c r="NZG30" s="1"/>
      <c r="NZH30" s="1"/>
      <c r="NZI30" s="1"/>
      <c r="NZJ30" s="1"/>
      <c r="NZK30" s="1"/>
      <c r="NZL30" s="1"/>
      <c r="NZM30" s="1"/>
      <c r="NZN30" s="1"/>
      <c r="NZO30" s="1"/>
      <c r="NZP30" s="1"/>
      <c r="NZQ30" s="1"/>
      <c r="NZR30" s="1"/>
      <c r="NZS30" s="1"/>
      <c r="NZT30" s="1"/>
      <c r="NZU30" s="1"/>
      <c r="NZV30" s="1"/>
      <c r="NZW30" s="1"/>
      <c r="NZX30" s="1"/>
      <c r="NZY30" s="1"/>
      <c r="NZZ30" s="1"/>
      <c r="OAA30" s="1"/>
      <c r="OAB30" s="1"/>
      <c r="OAC30" s="1"/>
      <c r="OAD30" s="1"/>
      <c r="OAE30" s="1"/>
      <c r="OAF30" s="1"/>
      <c r="OAG30" s="1"/>
      <c r="OAH30" s="1"/>
      <c r="OAI30" s="1"/>
      <c r="OAJ30" s="1"/>
      <c r="OAK30" s="1"/>
      <c r="OAL30" s="1"/>
      <c r="OAM30" s="1"/>
      <c r="OAN30" s="1"/>
      <c r="OAO30" s="1"/>
      <c r="OAP30" s="1"/>
      <c r="OAQ30" s="1"/>
      <c r="OAR30" s="1"/>
      <c r="OAS30" s="1"/>
      <c r="OAT30" s="1"/>
      <c r="OAU30" s="1"/>
      <c r="OAV30" s="1"/>
      <c r="OAW30" s="1"/>
      <c r="OAX30" s="1"/>
      <c r="OAY30" s="1"/>
      <c r="OAZ30" s="1"/>
      <c r="OBA30" s="1"/>
      <c r="OBB30" s="1"/>
      <c r="OBC30" s="1"/>
      <c r="OBD30" s="1"/>
      <c r="OBE30" s="1"/>
      <c r="OBF30" s="1"/>
      <c r="OBG30" s="1"/>
      <c r="OBH30" s="1"/>
      <c r="OBI30" s="1"/>
      <c r="OBJ30" s="1"/>
      <c r="OBK30" s="1"/>
      <c r="OBL30" s="1"/>
      <c r="OBM30" s="1"/>
      <c r="OBN30" s="1"/>
      <c r="OBO30" s="1"/>
      <c r="OBP30" s="1"/>
      <c r="OBQ30" s="1"/>
      <c r="OBR30" s="1"/>
      <c r="OBS30" s="1"/>
      <c r="OBT30" s="1"/>
      <c r="OBU30" s="1"/>
      <c r="OBV30" s="1"/>
      <c r="OBW30" s="1"/>
      <c r="OBX30" s="1"/>
      <c r="OBY30" s="1"/>
      <c r="OBZ30" s="1"/>
      <c r="OCA30" s="1"/>
      <c r="OCB30" s="1"/>
      <c r="OCC30" s="1"/>
      <c r="OCD30" s="1"/>
      <c r="OCE30" s="1"/>
      <c r="OCF30" s="1"/>
      <c r="OCG30" s="1"/>
      <c r="OCH30" s="1"/>
      <c r="OCI30" s="1"/>
      <c r="OCJ30" s="1"/>
      <c r="OCK30" s="1"/>
      <c r="OCL30" s="1"/>
      <c r="OCM30" s="1"/>
      <c r="OCN30" s="1"/>
      <c r="OCO30" s="1"/>
      <c r="OCP30" s="1"/>
      <c r="OCQ30" s="1"/>
      <c r="OCR30" s="1"/>
      <c r="OCS30" s="1"/>
      <c r="OCT30" s="1"/>
      <c r="OCU30" s="1"/>
      <c r="OCV30" s="1"/>
      <c r="OCW30" s="1"/>
      <c r="OCX30" s="1"/>
      <c r="OCY30" s="1"/>
      <c r="OCZ30" s="1"/>
      <c r="ODA30" s="1"/>
      <c r="ODB30" s="1"/>
      <c r="ODC30" s="1"/>
      <c r="ODD30" s="1"/>
      <c r="ODE30" s="1"/>
      <c r="ODF30" s="1"/>
      <c r="ODG30" s="1"/>
      <c r="ODH30" s="1"/>
      <c r="ODI30" s="1"/>
      <c r="ODJ30" s="1"/>
      <c r="ODK30" s="1"/>
      <c r="ODL30" s="1"/>
      <c r="ODM30" s="1"/>
      <c r="ODN30" s="1"/>
      <c r="ODO30" s="1"/>
      <c r="ODP30" s="1"/>
      <c r="ODQ30" s="1"/>
      <c r="ODR30" s="1"/>
      <c r="ODS30" s="1"/>
      <c r="ODT30" s="1"/>
      <c r="ODU30" s="1"/>
      <c r="ODV30" s="1"/>
      <c r="ODW30" s="1"/>
      <c r="ODX30" s="1"/>
      <c r="ODY30" s="1"/>
      <c r="ODZ30" s="1"/>
      <c r="OEA30" s="1"/>
      <c r="OEB30" s="1"/>
      <c r="OEC30" s="1"/>
      <c r="OED30" s="1"/>
      <c r="OEE30" s="1"/>
      <c r="OEF30" s="1"/>
      <c r="OEG30" s="1"/>
      <c r="OEH30" s="1"/>
      <c r="OEI30" s="1"/>
      <c r="OEJ30" s="1"/>
      <c r="OEK30" s="1"/>
      <c r="OEL30" s="1"/>
      <c r="OEM30" s="1"/>
      <c r="OEN30" s="1"/>
      <c r="OEO30" s="1"/>
      <c r="OEP30" s="1"/>
      <c r="OEQ30" s="1"/>
      <c r="OER30" s="1"/>
      <c r="OES30" s="1"/>
      <c r="OET30" s="1"/>
      <c r="OEU30" s="1"/>
      <c r="OEV30" s="1"/>
      <c r="OEW30" s="1"/>
      <c r="OEX30" s="1"/>
      <c r="OEY30" s="1"/>
      <c r="OEZ30" s="1"/>
      <c r="OFA30" s="1"/>
      <c r="OFB30" s="1"/>
      <c r="OFC30" s="1"/>
      <c r="OFD30" s="1"/>
      <c r="OFE30" s="1"/>
      <c r="OFF30" s="1"/>
      <c r="OFG30" s="1"/>
      <c r="OFH30" s="1"/>
      <c r="OFI30" s="1"/>
      <c r="OFJ30" s="1"/>
      <c r="OFK30" s="1"/>
      <c r="OFL30" s="1"/>
      <c r="OFM30" s="1"/>
      <c r="OFN30" s="1"/>
      <c r="OFO30" s="1"/>
      <c r="OFP30" s="1"/>
      <c r="OFQ30" s="1"/>
      <c r="OFR30" s="1"/>
      <c r="OFS30" s="1"/>
      <c r="OFT30" s="1"/>
      <c r="OFU30" s="1"/>
      <c r="OFV30" s="1"/>
      <c r="OFW30" s="1"/>
      <c r="OFX30" s="1"/>
      <c r="OFY30" s="1"/>
      <c r="OFZ30" s="1"/>
      <c r="OGA30" s="1"/>
      <c r="OGB30" s="1"/>
      <c r="OGC30" s="1"/>
      <c r="OGD30" s="1"/>
      <c r="OGE30" s="1"/>
      <c r="OGF30" s="1"/>
      <c r="OGG30" s="1"/>
      <c r="OGH30" s="1"/>
      <c r="OGI30" s="1"/>
      <c r="OGJ30" s="1"/>
      <c r="OGK30" s="1"/>
      <c r="OGL30" s="1"/>
      <c r="OGM30" s="1"/>
      <c r="OGN30" s="1"/>
      <c r="OGO30" s="1"/>
      <c r="OGP30" s="1"/>
      <c r="OGQ30" s="1"/>
      <c r="OGR30" s="1"/>
      <c r="OGS30" s="1"/>
      <c r="OGT30" s="1"/>
      <c r="OGU30" s="1"/>
      <c r="OGV30" s="1"/>
      <c r="OGW30" s="1"/>
      <c r="OGX30" s="1"/>
      <c r="OGY30" s="1"/>
      <c r="OGZ30" s="1"/>
      <c r="OHA30" s="1"/>
      <c r="OHB30" s="1"/>
      <c r="OHC30" s="1"/>
      <c r="OHD30" s="1"/>
      <c r="OHE30" s="1"/>
      <c r="OHF30" s="1"/>
      <c r="OHG30" s="1"/>
      <c r="OHH30" s="1"/>
      <c r="OHI30" s="1"/>
      <c r="OHJ30" s="1"/>
      <c r="OHK30" s="1"/>
      <c r="OHL30" s="1"/>
      <c r="OHM30" s="1"/>
      <c r="OHN30" s="1"/>
      <c r="OHO30" s="1"/>
      <c r="OHP30" s="1"/>
      <c r="OHQ30" s="1"/>
      <c r="OHR30" s="1"/>
      <c r="OHS30" s="1"/>
      <c r="OHT30" s="1"/>
      <c r="OHU30" s="1"/>
      <c r="OHV30" s="1"/>
      <c r="OHW30" s="1"/>
      <c r="OHX30" s="1"/>
      <c r="OHY30" s="1"/>
      <c r="OHZ30" s="1"/>
      <c r="OIA30" s="1"/>
      <c r="OIB30" s="1"/>
      <c r="OIC30" s="1"/>
      <c r="OID30" s="1"/>
      <c r="OIE30" s="1"/>
      <c r="OIF30" s="1"/>
      <c r="OIG30" s="1"/>
      <c r="OIH30" s="1"/>
      <c r="OII30" s="1"/>
      <c r="OIJ30" s="1"/>
      <c r="OIK30" s="1"/>
      <c r="OIL30" s="1"/>
      <c r="OIM30" s="1"/>
      <c r="OIN30" s="1"/>
      <c r="OIO30" s="1"/>
      <c r="OIP30" s="1"/>
      <c r="OIQ30" s="1"/>
      <c r="OIR30" s="1"/>
      <c r="OIS30" s="1"/>
      <c r="OIT30" s="1"/>
      <c r="OIU30" s="1"/>
      <c r="OIV30" s="1"/>
      <c r="OIW30" s="1"/>
      <c r="OIX30" s="1"/>
      <c r="OIY30" s="1"/>
      <c r="OIZ30" s="1"/>
      <c r="OJA30" s="1"/>
      <c r="OJB30" s="1"/>
      <c r="OJC30" s="1"/>
      <c r="OJD30" s="1"/>
      <c r="OJE30" s="1"/>
      <c r="OJF30" s="1"/>
      <c r="OJG30" s="1"/>
      <c r="OJH30" s="1"/>
      <c r="OJI30" s="1"/>
      <c r="OJJ30" s="1"/>
      <c r="OJK30" s="1"/>
      <c r="OJL30" s="1"/>
      <c r="OJM30" s="1"/>
      <c r="OJN30" s="1"/>
      <c r="OJO30" s="1"/>
      <c r="OJP30" s="1"/>
      <c r="OJQ30" s="1"/>
      <c r="OJR30" s="1"/>
      <c r="OJS30" s="1"/>
      <c r="OJT30" s="1"/>
      <c r="OJU30" s="1"/>
      <c r="OJV30" s="1"/>
      <c r="OJW30" s="1"/>
      <c r="OJX30" s="1"/>
      <c r="OJY30" s="1"/>
      <c r="OJZ30" s="1"/>
      <c r="OKA30" s="1"/>
      <c r="OKB30" s="1"/>
      <c r="OKC30" s="1"/>
      <c r="OKD30" s="1"/>
      <c r="OKE30" s="1"/>
      <c r="OKF30" s="1"/>
      <c r="OKG30" s="1"/>
      <c r="OKH30" s="1"/>
      <c r="OKI30" s="1"/>
      <c r="OKJ30" s="1"/>
      <c r="OKK30" s="1"/>
      <c r="OKL30" s="1"/>
      <c r="OKM30" s="1"/>
      <c r="OKN30" s="1"/>
      <c r="OKO30" s="1"/>
      <c r="OKP30" s="1"/>
      <c r="OKQ30" s="1"/>
      <c r="OKR30" s="1"/>
      <c r="OKS30" s="1"/>
      <c r="OKT30" s="1"/>
      <c r="OKU30" s="1"/>
      <c r="OKV30" s="1"/>
      <c r="OKW30" s="1"/>
      <c r="OKX30" s="1"/>
      <c r="OKY30" s="1"/>
      <c r="OKZ30" s="1"/>
      <c r="OLA30" s="1"/>
      <c r="OLB30" s="1"/>
      <c r="OLC30" s="1"/>
      <c r="OLD30" s="1"/>
      <c r="OLE30" s="1"/>
      <c r="OLF30" s="1"/>
      <c r="OLG30" s="1"/>
      <c r="OLH30" s="1"/>
      <c r="OLI30" s="1"/>
      <c r="OLJ30" s="1"/>
      <c r="OLK30" s="1"/>
      <c r="OLL30" s="1"/>
      <c r="OLM30" s="1"/>
      <c r="OLN30" s="1"/>
      <c r="OLO30" s="1"/>
      <c r="OLP30" s="1"/>
      <c r="OLQ30" s="1"/>
      <c r="OLR30" s="1"/>
      <c r="OLS30" s="1"/>
      <c r="OLT30" s="1"/>
      <c r="OLU30" s="1"/>
      <c r="OLV30" s="1"/>
      <c r="OLW30" s="1"/>
      <c r="OLX30" s="1"/>
      <c r="OLY30" s="1"/>
      <c r="OLZ30" s="1"/>
      <c r="OMA30" s="1"/>
      <c r="OMB30" s="1"/>
      <c r="OMC30" s="1"/>
      <c r="OMD30" s="1"/>
      <c r="OME30" s="1"/>
      <c r="OMF30" s="1"/>
      <c r="OMG30" s="1"/>
      <c r="OMH30" s="1"/>
      <c r="OMI30" s="1"/>
      <c r="OMJ30" s="1"/>
      <c r="OMK30" s="1"/>
      <c r="OML30" s="1"/>
      <c r="OMM30" s="1"/>
      <c r="OMN30" s="1"/>
      <c r="OMO30" s="1"/>
      <c r="OMP30" s="1"/>
      <c r="OMQ30" s="1"/>
      <c r="OMR30" s="1"/>
      <c r="OMS30" s="1"/>
      <c r="OMT30" s="1"/>
      <c r="OMU30" s="1"/>
      <c r="OMV30" s="1"/>
      <c r="OMW30" s="1"/>
      <c r="OMX30" s="1"/>
      <c r="OMY30" s="1"/>
      <c r="OMZ30" s="1"/>
      <c r="ONA30" s="1"/>
      <c r="ONB30" s="1"/>
      <c r="ONC30" s="1"/>
      <c r="OND30" s="1"/>
      <c r="ONE30" s="1"/>
      <c r="ONF30" s="1"/>
      <c r="ONG30" s="1"/>
      <c r="ONH30" s="1"/>
      <c r="ONI30" s="1"/>
      <c r="ONJ30" s="1"/>
      <c r="ONK30" s="1"/>
      <c r="ONL30" s="1"/>
      <c r="ONM30" s="1"/>
      <c r="ONN30" s="1"/>
      <c r="ONO30" s="1"/>
      <c r="ONP30" s="1"/>
      <c r="ONQ30" s="1"/>
      <c r="ONR30" s="1"/>
      <c r="ONS30" s="1"/>
      <c r="ONT30" s="1"/>
      <c r="ONU30" s="1"/>
      <c r="ONV30" s="1"/>
      <c r="ONW30" s="1"/>
      <c r="ONX30" s="1"/>
      <c r="ONY30" s="1"/>
      <c r="ONZ30" s="1"/>
      <c r="OOA30" s="1"/>
      <c r="OOB30" s="1"/>
      <c r="OOC30" s="1"/>
      <c r="OOD30" s="1"/>
      <c r="OOE30" s="1"/>
      <c r="OOF30" s="1"/>
      <c r="OOG30" s="1"/>
      <c r="OOH30" s="1"/>
      <c r="OOI30" s="1"/>
      <c r="OOJ30" s="1"/>
      <c r="OOK30" s="1"/>
      <c r="OOL30" s="1"/>
      <c r="OOM30" s="1"/>
      <c r="OON30" s="1"/>
      <c r="OOO30" s="1"/>
      <c r="OOP30" s="1"/>
      <c r="OOQ30" s="1"/>
      <c r="OOR30" s="1"/>
      <c r="OOS30" s="1"/>
      <c r="OOT30" s="1"/>
      <c r="OOU30" s="1"/>
      <c r="OOV30" s="1"/>
      <c r="OOW30" s="1"/>
      <c r="OOX30" s="1"/>
      <c r="OOY30" s="1"/>
      <c r="OOZ30" s="1"/>
      <c r="OPA30" s="1"/>
      <c r="OPB30" s="1"/>
      <c r="OPC30" s="1"/>
      <c r="OPD30" s="1"/>
      <c r="OPE30" s="1"/>
      <c r="OPF30" s="1"/>
      <c r="OPG30" s="1"/>
      <c r="OPH30" s="1"/>
      <c r="OPI30" s="1"/>
      <c r="OPJ30" s="1"/>
      <c r="OPK30" s="1"/>
      <c r="OPL30" s="1"/>
      <c r="OPM30" s="1"/>
      <c r="OPN30" s="1"/>
      <c r="OPO30" s="1"/>
      <c r="OPP30" s="1"/>
      <c r="OPQ30" s="1"/>
      <c r="OPR30" s="1"/>
      <c r="OPS30" s="1"/>
      <c r="OPT30" s="1"/>
      <c r="OPU30" s="1"/>
      <c r="OPV30" s="1"/>
      <c r="OPW30" s="1"/>
      <c r="OPX30" s="1"/>
      <c r="OPY30" s="1"/>
      <c r="OPZ30" s="1"/>
      <c r="OQA30" s="1"/>
      <c r="OQB30" s="1"/>
      <c r="OQC30" s="1"/>
      <c r="OQD30" s="1"/>
      <c r="OQE30" s="1"/>
      <c r="OQF30" s="1"/>
      <c r="OQG30" s="1"/>
      <c r="OQH30" s="1"/>
      <c r="OQI30" s="1"/>
      <c r="OQJ30" s="1"/>
      <c r="OQK30" s="1"/>
      <c r="OQL30" s="1"/>
      <c r="OQM30" s="1"/>
      <c r="OQN30" s="1"/>
      <c r="OQO30" s="1"/>
      <c r="OQP30" s="1"/>
      <c r="OQQ30" s="1"/>
      <c r="OQR30" s="1"/>
      <c r="OQS30" s="1"/>
      <c r="OQT30" s="1"/>
      <c r="OQU30" s="1"/>
      <c r="OQV30" s="1"/>
      <c r="OQW30" s="1"/>
      <c r="OQX30" s="1"/>
      <c r="OQY30" s="1"/>
      <c r="OQZ30" s="1"/>
      <c r="ORA30" s="1"/>
      <c r="ORB30" s="1"/>
      <c r="ORC30" s="1"/>
      <c r="ORD30" s="1"/>
      <c r="ORE30" s="1"/>
      <c r="ORF30" s="1"/>
      <c r="ORG30" s="1"/>
      <c r="ORH30" s="1"/>
      <c r="ORI30" s="1"/>
      <c r="ORJ30" s="1"/>
      <c r="ORK30" s="1"/>
      <c r="ORL30" s="1"/>
      <c r="ORM30" s="1"/>
      <c r="ORN30" s="1"/>
      <c r="ORO30" s="1"/>
      <c r="ORP30" s="1"/>
      <c r="ORQ30" s="1"/>
      <c r="ORR30" s="1"/>
      <c r="ORS30" s="1"/>
      <c r="ORT30" s="1"/>
      <c r="ORU30" s="1"/>
      <c r="ORV30" s="1"/>
      <c r="ORW30" s="1"/>
      <c r="ORX30" s="1"/>
      <c r="ORY30" s="1"/>
      <c r="ORZ30" s="1"/>
      <c r="OSA30" s="1"/>
      <c r="OSB30" s="1"/>
      <c r="OSC30" s="1"/>
      <c r="OSD30" s="1"/>
      <c r="OSE30" s="1"/>
      <c r="OSF30" s="1"/>
      <c r="OSG30" s="1"/>
      <c r="OSH30" s="1"/>
      <c r="OSI30" s="1"/>
      <c r="OSJ30" s="1"/>
      <c r="OSK30" s="1"/>
      <c r="OSL30" s="1"/>
      <c r="OSM30" s="1"/>
      <c r="OSN30" s="1"/>
      <c r="OSO30" s="1"/>
      <c r="OSP30" s="1"/>
      <c r="OSQ30" s="1"/>
      <c r="OSR30" s="1"/>
      <c r="OSS30" s="1"/>
      <c r="OST30" s="1"/>
      <c r="OSU30" s="1"/>
      <c r="OSV30" s="1"/>
      <c r="OSW30" s="1"/>
      <c r="OSX30" s="1"/>
      <c r="OSY30" s="1"/>
      <c r="OSZ30" s="1"/>
      <c r="OTA30" s="1"/>
      <c r="OTB30" s="1"/>
      <c r="OTC30" s="1"/>
      <c r="OTD30" s="1"/>
      <c r="OTE30" s="1"/>
      <c r="OTF30" s="1"/>
      <c r="OTG30" s="1"/>
      <c r="OTH30" s="1"/>
      <c r="OTI30" s="1"/>
      <c r="OTJ30" s="1"/>
      <c r="OTK30" s="1"/>
      <c r="OTL30" s="1"/>
      <c r="OTM30" s="1"/>
      <c r="OTN30" s="1"/>
      <c r="OTO30" s="1"/>
      <c r="OTP30" s="1"/>
      <c r="OTQ30" s="1"/>
      <c r="OTR30" s="1"/>
      <c r="OTS30" s="1"/>
      <c r="OTT30" s="1"/>
      <c r="OTU30" s="1"/>
      <c r="OTV30" s="1"/>
      <c r="OTW30" s="1"/>
      <c r="OTX30" s="1"/>
      <c r="OTY30" s="1"/>
      <c r="OTZ30" s="1"/>
      <c r="OUA30" s="1"/>
      <c r="OUB30" s="1"/>
      <c r="OUC30" s="1"/>
      <c r="OUD30" s="1"/>
      <c r="OUE30" s="1"/>
      <c r="OUF30" s="1"/>
      <c r="OUG30" s="1"/>
      <c r="OUH30" s="1"/>
      <c r="OUI30" s="1"/>
      <c r="OUJ30" s="1"/>
      <c r="OUK30" s="1"/>
      <c r="OUL30" s="1"/>
      <c r="OUM30" s="1"/>
      <c r="OUN30" s="1"/>
      <c r="OUO30" s="1"/>
      <c r="OUP30" s="1"/>
      <c r="OUQ30" s="1"/>
      <c r="OUR30" s="1"/>
      <c r="OUS30" s="1"/>
      <c r="OUT30" s="1"/>
      <c r="OUU30" s="1"/>
      <c r="OUV30" s="1"/>
      <c r="OUW30" s="1"/>
      <c r="OUX30" s="1"/>
      <c r="OUY30" s="1"/>
      <c r="OUZ30" s="1"/>
      <c r="OVA30" s="1"/>
      <c r="OVB30" s="1"/>
      <c r="OVC30" s="1"/>
      <c r="OVD30" s="1"/>
      <c r="OVE30" s="1"/>
      <c r="OVF30" s="1"/>
      <c r="OVG30" s="1"/>
      <c r="OVH30" s="1"/>
      <c r="OVI30" s="1"/>
      <c r="OVJ30" s="1"/>
      <c r="OVK30" s="1"/>
      <c r="OVL30" s="1"/>
      <c r="OVM30" s="1"/>
      <c r="OVN30" s="1"/>
      <c r="OVO30" s="1"/>
      <c r="OVP30" s="1"/>
      <c r="OVQ30" s="1"/>
      <c r="OVR30" s="1"/>
      <c r="OVS30" s="1"/>
      <c r="OVT30" s="1"/>
      <c r="OVU30" s="1"/>
      <c r="OVV30" s="1"/>
      <c r="OVW30" s="1"/>
      <c r="OVX30" s="1"/>
      <c r="OVY30" s="1"/>
      <c r="OVZ30" s="1"/>
      <c r="OWA30" s="1"/>
      <c r="OWB30" s="1"/>
      <c r="OWC30" s="1"/>
      <c r="OWD30" s="1"/>
      <c r="OWE30" s="1"/>
      <c r="OWF30" s="1"/>
      <c r="OWG30" s="1"/>
      <c r="OWH30" s="1"/>
      <c r="OWI30" s="1"/>
      <c r="OWJ30" s="1"/>
      <c r="OWK30" s="1"/>
      <c r="OWL30" s="1"/>
      <c r="OWM30" s="1"/>
      <c r="OWN30" s="1"/>
      <c r="OWO30" s="1"/>
      <c r="OWP30" s="1"/>
      <c r="OWQ30" s="1"/>
      <c r="OWR30" s="1"/>
      <c r="OWS30" s="1"/>
      <c r="OWT30" s="1"/>
      <c r="OWU30" s="1"/>
      <c r="OWV30" s="1"/>
      <c r="OWW30" s="1"/>
      <c r="OWX30" s="1"/>
      <c r="OWY30" s="1"/>
      <c r="OWZ30" s="1"/>
      <c r="OXA30" s="1"/>
      <c r="OXB30" s="1"/>
      <c r="OXC30" s="1"/>
      <c r="OXD30" s="1"/>
      <c r="OXE30" s="1"/>
      <c r="OXF30" s="1"/>
      <c r="OXG30" s="1"/>
      <c r="OXH30" s="1"/>
      <c r="OXI30" s="1"/>
      <c r="OXJ30" s="1"/>
      <c r="OXK30" s="1"/>
      <c r="OXL30" s="1"/>
      <c r="OXM30" s="1"/>
      <c r="OXN30" s="1"/>
      <c r="OXO30" s="1"/>
      <c r="OXP30" s="1"/>
      <c r="OXQ30" s="1"/>
      <c r="OXR30" s="1"/>
      <c r="OXS30" s="1"/>
      <c r="OXT30" s="1"/>
      <c r="OXU30" s="1"/>
      <c r="OXV30" s="1"/>
      <c r="OXW30" s="1"/>
      <c r="OXX30" s="1"/>
      <c r="OXY30" s="1"/>
      <c r="OXZ30" s="1"/>
      <c r="OYA30" s="1"/>
      <c r="OYB30" s="1"/>
      <c r="OYC30" s="1"/>
      <c r="OYD30" s="1"/>
      <c r="OYE30" s="1"/>
      <c r="OYF30" s="1"/>
      <c r="OYG30" s="1"/>
      <c r="OYH30" s="1"/>
      <c r="OYI30" s="1"/>
      <c r="OYJ30" s="1"/>
      <c r="OYK30" s="1"/>
      <c r="OYL30" s="1"/>
      <c r="OYM30" s="1"/>
      <c r="OYN30" s="1"/>
      <c r="OYO30" s="1"/>
      <c r="OYP30" s="1"/>
      <c r="OYQ30" s="1"/>
      <c r="OYR30" s="1"/>
      <c r="OYS30" s="1"/>
      <c r="OYT30" s="1"/>
      <c r="OYU30" s="1"/>
      <c r="OYV30" s="1"/>
      <c r="OYW30" s="1"/>
      <c r="OYX30" s="1"/>
      <c r="OYY30" s="1"/>
      <c r="OYZ30" s="1"/>
      <c r="OZA30" s="1"/>
      <c r="OZB30" s="1"/>
      <c r="OZC30" s="1"/>
      <c r="OZD30" s="1"/>
      <c r="OZE30" s="1"/>
      <c r="OZF30" s="1"/>
      <c r="OZG30" s="1"/>
      <c r="OZH30" s="1"/>
      <c r="OZI30" s="1"/>
      <c r="OZJ30" s="1"/>
      <c r="OZK30" s="1"/>
      <c r="OZL30" s="1"/>
      <c r="OZM30" s="1"/>
      <c r="OZN30" s="1"/>
      <c r="OZO30" s="1"/>
      <c r="OZP30" s="1"/>
      <c r="OZQ30" s="1"/>
      <c r="OZR30" s="1"/>
      <c r="OZS30" s="1"/>
      <c r="OZT30" s="1"/>
      <c r="OZU30" s="1"/>
      <c r="OZV30" s="1"/>
      <c r="OZW30" s="1"/>
      <c r="OZX30" s="1"/>
      <c r="OZY30" s="1"/>
      <c r="OZZ30" s="1"/>
      <c r="PAA30" s="1"/>
      <c r="PAB30" s="1"/>
      <c r="PAC30" s="1"/>
      <c r="PAD30" s="1"/>
      <c r="PAE30" s="1"/>
      <c r="PAF30" s="1"/>
      <c r="PAG30" s="1"/>
      <c r="PAH30" s="1"/>
      <c r="PAI30" s="1"/>
      <c r="PAJ30" s="1"/>
      <c r="PAK30" s="1"/>
      <c r="PAL30" s="1"/>
      <c r="PAM30" s="1"/>
      <c r="PAN30" s="1"/>
      <c r="PAO30" s="1"/>
      <c r="PAP30" s="1"/>
      <c r="PAQ30" s="1"/>
      <c r="PAR30" s="1"/>
      <c r="PAS30" s="1"/>
      <c r="PAT30" s="1"/>
      <c r="PAU30" s="1"/>
      <c r="PAV30" s="1"/>
      <c r="PAW30" s="1"/>
      <c r="PAX30" s="1"/>
      <c r="PAY30" s="1"/>
      <c r="PAZ30" s="1"/>
      <c r="PBA30" s="1"/>
      <c r="PBB30" s="1"/>
      <c r="PBC30" s="1"/>
      <c r="PBD30" s="1"/>
      <c r="PBE30" s="1"/>
      <c r="PBF30" s="1"/>
      <c r="PBG30" s="1"/>
      <c r="PBH30" s="1"/>
      <c r="PBI30" s="1"/>
      <c r="PBJ30" s="1"/>
      <c r="PBK30" s="1"/>
      <c r="PBL30" s="1"/>
      <c r="PBM30" s="1"/>
      <c r="PBN30" s="1"/>
      <c r="PBO30" s="1"/>
      <c r="PBP30" s="1"/>
      <c r="PBQ30" s="1"/>
      <c r="PBR30" s="1"/>
      <c r="PBS30" s="1"/>
      <c r="PBT30" s="1"/>
      <c r="PBU30" s="1"/>
      <c r="PBV30" s="1"/>
      <c r="PBW30" s="1"/>
      <c r="PBX30" s="1"/>
      <c r="PBY30" s="1"/>
      <c r="PBZ30" s="1"/>
      <c r="PCA30" s="1"/>
      <c r="PCB30" s="1"/>
      <c r="PCC30" s="1"/>
      <c r="PCD30" s="1"/>
      <c r="PCE30" s="1"/>
      <c r="PCF30" s="1"/>
      <c r="PCG30" s="1"/>
      <c r="PCH30" s="1"/>
      <c r="PCI30" s="1"/>
      <c r="PCJ30" s="1"/>
      <c r="PCK30" s="1"/>
      <c r="PCL30" s="1"/>
      <c r="PCM30" s="1"/>
      <c r="PCN30" s="1"/>
      <c r="PCO30" s="1"/>
      <c r="PCP30" s="1"/>
      <c r="PCQ30" s="1"/>
      <c r="PCR30" s="1"/>
      <c r="PCS30" s="1"/>
      <c r="PCT30" s="1"/>
      <c r="PCU30" s="1"/>
      <c r="PCV30" s="1"/>
      <c r="PCW30" s="1"/>
      <c r="PCX30" s="1"/>
      <c r="PCY30" s="1"/>
      <c r="PCZ30" s="1"/>
      <c r="PDA30" s="1"/>
      <c r="PDB30" s="1"/>
      <c r="PDC30" s="1"/>
      <c r="PDD30" s="1"/>
      <c r="PDE30" s="1"/>
      <c r="PDF30" s="1"/>
      <c r="PDG30" s="1"/>
      <c r="PDH30" s="1"/>
      <c r="PDI30" s="1"/>
      <c r="PDJ30" s="1"/>
      <c r="PDK30" s="1"/>
      <c r="PDL30" s="1"/>
      <c r="PDM30" s="1"/>
      <c r="PDN30" s="1"/>
      <c r="PDO30" s="1"/>
      <c r="PDP30" s="1"/>
      <c r="PDQ30" s="1"/>
      <c r="PDR30" s="1"/>
      <c r="PDS30" s="1"/>
      <c r="PDT30" s="1"/>
      <c r="PDU30" s="1"/>
      <c r="PDV30" s="1"/>
      <c r="PDW30" s="1"/>
      <c r="PDX30" s="1"/>
      <c r="PDY30" s="1"/>
      <c r="PDZ30" s="1"/>
      <c r="PEA30" s="1"/>
      <c r="PEB30" s="1"/>
      <c r="PEC30" s="1"/>
      <c r="PED30" s="1"/>
      <c r="PEE30" s="1"/>
      <c r="PEF30" s="1"/>
      <c r="PEG30" s="1"/>
      <c r="PEH30" s="1"/>
      <c r="PEI30" s="1"/>
      <c r="PEJ30" s="1"/>
      <c r="PEK30" s="1"/>
      <c r="PEL30" s="1"/>
      <c r="PEM30" s="1"/>
      <c r="PEN30" s="1"/>
      <c r="PEO30" s="1"/>
      <c r="PEP30" s="1"/>
      <c r="PEQ30" s="1"/>
      <c r="PER30" s="1"/>
      <c r="PES30" s="1"/>
      <c r="PET30" s="1"/>
      <c r="PEU30" s="1"/>
      <c r="PEV30" s="1"/>
      <c r="PEW30" s="1"/>
      <c r="PEX30" s="1"/>
      <c r="PEY30" s="1"/>
      <c r="PEZ30" s="1"/>
      <c r="PFA30" s="1"/>
      <c r="PFB30" s="1"/>
      <c r="PFC30" s="1"/>
      <c r="PFD30" s="1"/>
      <c r="PFE30" s="1"/>
      <c r="PFF30" s="1"/>
      <c r="PFG30" s="1"/>
      <c r="PFH30" s="1"/>
      <c r="PFI30" s="1"/>
      <c r="PFJ30" s="1"/>
      <c r="PFK30" s="1"/>
      <c r="PFL30" s="1"/>
      <c r="PFM30" s="1"/>
      <c r="PFN30" s="1"/>
      <c r="PFO30" s="1"/>
      <c r="PFP30" s="1"/>
      <c r="PFQ30" s="1"/>
      <c r="PFR30" s="1"/>
      <c r="PFS30" s="1"/>
      <c r="PFT30" s="1"/>
      <c r="PFU30" s="1"/>
      <c r="PFV30" s="1"/>
      <c r="PFW30" s="1"/>
      <c r="PFX30" s="1"/>
      <c r="PFY30" s="1"/>
      <c r="PFZ30" s="1"/>
      <c r="PGA30" s="1"/>
      <c r="PGB30" s="1"/>
      <c r="PGC30" s="1"/>
      <c r="PGD30" s="1"/>
      <c r="PGE30" s="1"/>
      <c r="PGF30" s="1"/>
      <c r="PGG30" s="1"/>
      <c r="PGH30" s="1"/>
      <c r="PGI30" s="1"/>
      <c r="PGJ30" s="1"/>
      <c r="PGK30" s="1"/>
      <c r="PGL30" s="1"/>
      <c r="PGM30" s="1"/>
      <c r="PGN30" s="1"/>
      <c r="PGO30" s="1"/>
      <c r="PGP30" s="1"/>
      <c r="PGQ30" s="1"/>
      <c r="PGR30" s="1"/>
      <c r="PGS30" s="1"/>
      <c r="PGT30" s="1"/>
      <c r="PGU30" s="1"/>
      <c r="PGV30" s="1"/>
      <c r="PGW30" s="1"/>
      <c r="PGX30" s="1"/>
      <c r="PGY30" s="1"/>
      <c r="PGZ30" s="1"/>
      <c r="PHA30" s="1"/>
      <c r="PHB30" s="1"/>
      <c r="PHC30" s="1"/>
      <c r="PHD30" s="1"/>
      <c r="PHE30" s="1"/>
      <c r="PHF30" s="1"/>
      <c r="PHG30" s="1"/>
      <c r="PHH30" s="1"/>
      <c r="PHI30" s="1"/>
      <c r="PHJ30" s="1"/>
      <c r="PHK30" s="1"/>
      <c r="PHL30" s="1"/>
      <c r="PHM30" s="1"/>
      <c r="PHN30" s="1"/>
      <c r="PHO30" s="1"/>
      <c r="PHP30" s="1"/>
      <c r="PHQ30" s="1"/>
      <c r="PHR30" s="1"/>
      <c r="PHS30" s="1"/>
      <c r="PHT30" s="1"/>
      <c r="PHU30" s="1"/>
      <c r="PHV30" s="1"/>
      <c r="PHW30" s="1"/>
      <c r="PHX30" s="1"/>
      <c r="PHY30" s="1"/>
      <c r="PHZ30" s="1"/>
      <c r="PIA30" s="1"/>
      <c r="PIB30" s="1"/>
      <c r="PIC30" s="1"/>
      <c r="PID30" s="1"/>
      <c r="PIE30" s="1"/>
      <c r="PIF30" s="1"/>
      <c r="PIG30" s="1"/>
      <c r="PIH30" s="1"/>
      <c r="PII30" s="1"/>
      <c r="PIJ30" s="1"/>
      <c r="PIK30" s="1"/>
      <c r="PIL30" s="1"/>
      <c r="PIM30" s="1"/>
      <c r="PIN30" s="1"/>
      <c r="PIO30" s="1"/>
      <c r="PIP30" s="1"/>
      <c r="PIQ30" s="1"/>
      <c r="PIR30" s="1"/>
      <c r="PIS30" s="1"/>
      <c r="PIT30" s="1"/>
      <c r="PIU30" s="1"/>
      <c r="PIV30" s="1"/>
      <c r="PIW30" s="1"/>
      <c r="PIX30" s="1"/>
      <c r="PIY30" s="1"/>
      <c r="PIZ30" s="1"/>
      <c r="PJA30" s="1"/>
      <c r="PJB30" s="1"/>
      <c r="PJC30" s="1"/>
      <c r="PJD30" s="1"/>
      <c r="PJE30" s="1"/>
      <c r="PJF30" s="1"/>
      <c r="PJG30" s="1"/>
      <c r="PJH30" s="1"/>
      <c r="PJI30" s="1"/>
      <c r="PJJ30" s="1"/>
      <c r="PJK30" s="1"/>
      <c r="PJL30" s="1"/>
      <c r="PJM30" s="1"/>
      <c r="PJN30" s="1"/>
      <c r="PJO30" s="1"/>
      <c r="PJP30" s="1"/>
      <c r="PJQ30" s="1"/>
      <c r="PJR30" s="1"/>
      <c r="PJS30" s="1"/>
      <c r="PJT30" s="1"/>
      <c r="PJU30" s="1"/>
      <c r="PJV30" s="1"/>
      <c r="PJW30" s="1"/>
      <c r="PJX30" s="1"/>
      <c r="PJY30" s="1"/>
      <c r="PJZ30" s="1"/>
      <c r="PKA30" s="1"/>
      <c r="PKB30" s="1"/>
      <c r="PKC30" s="1"/>
      <c r="PKD30" s="1"/>
      <c r="PKE30" s="1"/>
      <c r="PKF30" s="1"/>
      <c r="PKG30" s="1"/>
      <c r="PKH30" s="1"/>
      <c r="PKI30" s="1"/>
      <c r="PKJ30" s="1"/>
      <c r="PKK30" s="1"/>
      <c r="PKL30" s="1"/>
      <c r="PKM30" s="1"/>
      <c r="PKN30" s="1"/>
      <c r="PKO30" s="1"/>
      <c r="PKP30" s="1"/>
      <c r="PKQ30" s="1"/>
      <c r="PKR30" s="1"/>
      <c r="PKS30" s="1"/>
      <c r="PKT30" s="1"/>
      <c r="PKU30" s="1"/>
      <c r="PKV30" s="1"/>
      <c r="PKW30" s="1"/>
      <c r="PKX30" s="1"/>
      <c r="PKY30" s="1"/>
      <c r="PKZ30" s="1"/>
      <c r="PLA30" s="1"/>
      <c r="PLB30" s="1"/>
      <c r="PLC30" s="1"/>
      <c r="PLD30" s="1"/>
      <c r="PLE30" s="1"/>
      <c r="PLF30" s="1"/>
      <c r="PLG30" s="1"/>
      <c r="PLH30" s="1"/>
      <c r="PLI30" s="1"/>
      <c r="PLJ30" s="1"/>
      <c r="PLK30" s="1"/>
      <c r="PLL30" s="1"/>
      <c r="PLM30" s="1"/>
      <c r="PLN30" s="1"/>
      <c r="PLO30" s="1"/>
      <c r="PLP30" s="1"/>
      <c r="PLQ30" s="1"/>
      <c r="PLR30" s="1"/>
      <c r="PLS30" s="1"/>
      <c r="PLT30" s="1"/>
      <c r="PLU30" s="1"/>
      <c r="PLV30" s="1"/>
      <c r="PLW30" s="1"/>
      <c r="PLX30" s="1"/>
      <c r="PLY30" s="1"/>
      <c r="PLZ30" s="1"/>
      <c r="PMA30" s="1"/>
      <c r="PMB30" s="1"/>
      <c r="PMC30" s="1"/>
      <c r="PMD30" s="1"/>
      <c r="PME30" s="1"/>
      <c r="PMF30" s="1"/>
      <c r="PMG30" s="1"/>
      <c r="PMH30" s="1"/>
      <c r="PMI30" s="1"/>
      <c r="PMJ30" s="1"/>
      <c r="PMK30" s="1"/>
      <c r="PML30" s="1"/>
      <c r="PMM30" s="1"/>
      <c r="PMN30" s="1"/>
      <c r="PMO30" s="1"/>
      <c r="PMP30" s="1"/>
      <c r="PMQ30" s="1"/>
      <c r="PMR30" s="1"/>
      <c r="PMS30" s="1"/>
      <c r="PMT30" s="1"/>
      <c r="PMU30" s="1"/>
      <c r="PMV30" s="1"/>
      <c r="PMW30" s="1"/>
      <c r="PMX30" s="1"/>
      <c r="PMY30" s="1"/>
      <c r="PMZ30" s="1"/>
      <c r="PNA30" s="1"/>
      <c r="PNB30" s="1"/>
      <c r="PNC30" s="1"/>
      <c r="PND30" s="1"/>
      <c r="PNE30" s="1"/>
      <c r="PNF30" s="1"/>
      <c r="PNG30" s="1"/>
      <c r="PNH30" s="1"/>
      <c r="PNI30" s="1"/>
      <c r="PNJ30" s="1"/>
      <c r="PNK30" s="1"/>
      <c r="PNL30" s="1"/>
      <c r="PNM30" s="1"/>
      <c r="PNN30" s="1"/>
      <c r="PNO30" s="1"/>
      <c r="PNP30" s="1"/>
      <c r="PNQ30" s="1"/>
      <c r="PNR30" s="1"/>
      <c r="PNS30" s="1"/>
      <c r="PNT30" s="1"/>
      <c r="PNU30" s="1"/>
      <c r="PNV30" s="1"/>
      <c r="PNW30" s="1"/>
      <c r="PNX30" s="1"/>
      <c r="PNY30" s="1"/>
      <c r="PNZ30" s="1"/>
      <c r="POA30" s="1"/>
      <c r="POB30" s="1"/>
      <c r="POC30" s="1"/>
      <c r="POD30" s="1"/>
      <c r="POE30" s="1"/>
      <c r="POF30" s="1"/>
      <c r="POG30" s="1"/>
      <c r="POH30" s="1"/>
      <c r="POI30" s="1"/>
      <c r="POJ30" s="1"/>
      <c r="POK30" s="1"/>
      <c r="POL30" s="1"/>
      <c r="POM30" s="1"/>
      <c r="PON30" s="1"/>
      <c r="POO30" s="1"/>
      <c r="POP30" s="1"/>
      <c r="POQ30" s="1"/>
      <c r="POR30" s="1"/>
      <c r="POS30" s="1"/>
      <c r="POT30" s="1"/>
      <c r="POU30" s="1"/>
      <c r="POV30" s="1"/>
      <c r="POW30" s="1"/>
      <c r="POX30" s="1"/>
      <c r="POY30" s="1"/>
      <c r="POZ30" s="1"/>
      <c r="PPA30" s="1"/>
      <c r="PPB30" s="1"/>
      <c r="PPC30" s="1"/>
      <c r="PPD30" s="1"/>
      <c r="PPE30" s="1"/>
      <c r="PPF30" s="1"/>
      <c r="PPG30" s="1"/>
      <c r="PPH30" s="1"/>
      <c r="PPI30" s="1"/>
      <c r="PPJ30" s="1"/>
      <c r="PPK30" s="1"/>
      <c r="PPL30" s="1"/>
      <c r="PPM30" s="1"/>
      <c r="PPN30" s="1"/>
      <c r="PPO30" s="1"/>
      <c r="PPP30" s="1"/>
      <c r="PPQ30" s="1"/>
      <c r="PPR30" s="1"/>
      <c r="PPS30" s="1"/>
      <c r="PPT30" s="1"/>
      <c r="PPU30" s="1"/>
      <c r="PPV30" s="1"/>
      <c r="PPW30" s="1"/>
      <c r="PPX30" s="1"/>
      <c r="PPY30" s="1"/>
      <c r="PPZ30" s="1"/>
      <c r="PQA30" s="1"/>
      <c r="PQB30" s="1"/>
      <c r="PQC30" s="1"/>
      <c r="PQD30" s="1"/>
      <c r="PQE30" s="1"/>
      <c r="PQF30" s="1"/>
      <c r="PQG30" s="1"/>
      <c r="PQH30" s="1"/>
      <c r="PQI30" s="1"/>
      <c r="PQJ30" s="1"/>
      <c r="PQK30" s="1"/>
      <c r="PQL30" s="1"/>
      <c r="PQM30" s="1"/>
      <c r="PQN30" s="1"/>
      <c r="PQO30" s="1"/>
      <c r="PQP30" s="1"/>
      <c r="PQQ30" s="1"/>
      <c r="PQR30" s="1"/>
      <c r="PQS30" s="1"/>
      <c r="PQT30" s="1"/>
      <c r="PQU30" s="1"/>
      <c r="PQV30" s="1"/>
      <c r="PQW30" s="1"/>
      <c r="PQX30" s="1"/>
      <c r="PQY30" s="1"/>
      <c r="PQZ30" s="1"/>
      <c r="PRA30" s="1"/>
      <c r="PRB30" s="1"/>
      <c r="PRC30" s="1"/>
      <c r="PRD30" s="1"/>
      <c r="PRE30" s="1"/>
      <c r="PRF30" s="1"/>
      <c r="PRG30" s="1"/>
      <c r="PRH30" s="1"/>
      <c r="PRI30" s="1"/>
      <c r="PRJ30" s="1"/>
      <c r="PRK30" s="1"/>
      <c r="PRL30" s="1"/>
      <c r="PRM30" s="1"/>
      <c r="PRN30" s="1"/>
      <c r="PRO30" s="1"/>
      <c r="PRP30" s="1"/>
      <c r="PRQ30" s="1"/>
      <c r="PRR30" s="1"/>
      <c r="PRS30" s="1"/>
      <c r="PRT30" s="1"/>
      <c r="PRU30" s="1"/>
      <c r="PRV30" s="1"/>
      <c r="PRW30" s="1"/>
      <c r="PRX30" s="1"/>
      <c r="PRY30" s="1"/>
      <c r="PRZ30" s="1"/>
      <c r="PSA30" s="1"/>
      <c r="PSB30" s="1"/>
      <c r="PSC30" s="1"/>
      <c r="PSD30" s="1"/>
      <c r="PSE30" s="1"/>
      <c r="PSF30" s="1"/>
      <c r="PSG30" s="1"/>
      <c r="PSH30" s="1"/>
      <c r="PSI30" s="1"/>
      <c r="PSJ30" s="1"/>
      <c r="PSK30" s="1"/>
      <c r="PSL30" s="1"/>
      <c r="PSM30" s="1"/>
      <c r="PSN30" s="1"/>
      <c r="PSO30" s="1"/>
      <c r="PSP30" s="1"/>
      <c r="PSQ30" s="1"/>
      <c r="PSR30" s="1"/>
      <c r="PSS30" s="1"/>
      <c r="PST30" s="1"/>
      <c r="PSU30" s="1"/>
      <c r="PSV30" s="1"/>
      <c r="PSW30" s="1"/>
      <c r="PSX30" s="1"/>
      <c r="PSY30" s="1"/>
      <c r="PSZ30" s="1"/>
      <c r="PTA30" s="1"/>
      <c r="PTB30" s="1"/>
      <c r="PTC30" s="1"/>
      <c r="PTD30" s="1"/>
      <c r="PTE30" s="1"/>
      <c r="PTF30" s="1"/>
      <c r="PTG30" s="1"/>
      <c r="PTH30" s="1"/>
      <c r="PTI30" s="1"/>
      <c r="PTJ30" s="1"/>
      <c r="PTK30" s="1"/>
      <c r="PTL30" s="1"/>
      <c r="PTM30" s="1"/>
      <c r="PTN30" s="1"/>
      <c r="PTO30" s="1"/>
      <c r="PTP30" s="1"/>
      <c r="PTQ30" s="1"/>
      <c r="PTR30" s="1"/>
      <c r="PTS30" s="1"/>
      <c r="PTT30" s="1"/>
      <c r="PTU30" s="1"/>
      <c r="PTV30" s="1"/>
      <c r="PTW30" s="1"/>
      <c r="PTX30" s="1"/>
      <c r="PTY30" s="1"/>
      <c r="PTZ30" s="1"/>
      <c r="PUA30" s="1"/>
      <c r="PUB30" s="1"/>
      <c r="PUC30" s="1"/>
      <c r="PUD30" s="1"/>
      <c r="PUE30" s="1"/>
      <c r="PUF30" s="1"/>
      <c r="PUG30" s="1"/>
      <c r="PUH30" s="1"/>
      <c r="PUI30" s="1"/>
      <c r="PUJ30" s="1"/>
      <c r="PUK30" s="1"/>
      <c r="PUL30" s="1"/>
      <c r="PUM30" s="1"/>
      <c r="PUN30" s="1"/>
      <c r="PUO30" s="1"/>
      <c r="PUP30" s="1"/>
      <c r="PUQ30" s="1"/>
      <c r="PUR30" s="1"/>
      <c r="PUS30" s="1"/>
      <c r="PUT30" s="1"/>
      <c r="PUU30" s="1"/>
      <c r="PUV30" s="1"/>
      <c r="PUW30" s="1"/>
      <c r="PUX30" s="1"/>
      <c r="PUY30" s="1"/>
      <c r="PUZ30" s="1"/>
      <c r="PVA30" s="1"/>
      <c r="PVB30" s="1"/>
      <c r="PVC30" s="1"/>
      <c r="PVD30" s="1"/>
      <c r="PVE30" s="1"/>
      <c r="PVF30" s="1"/>
      <c r="PVG30" s="1"/>
      <c r="PVH30" s="1"/>
      <c r="PVI30" s="1"/>
      <c r="PVJ30" s="1"/>
      <c r="PVK30" s="1"/>
      <c r="PVL30" s="1"/>
      <c r="PVM30" s="1"/>
      <c r="PVN30" s="1"/>
      <c r="PVO30" s="1"/>
      <c r="PVP30" s="1"/>
      <c r="PVQ30" s="1"/>
      <c r="PVR30" s="1"/>
      <c r="PVS30" s="1"/>
      <c r="PVT30" s="1"/>
      <c r="PVU30" s="1"/>
      <c r="PVV30" s="1"/>
      <c r="PVW30" s="1"/>
      <c r="PVX30" s="1"/>
      <c r="PVY30" s="1"/>
      <c r="PVZ30" s="1"/>
      <c r="PWA30" s="1"/>
      <c r="PWB30" s="1"/>
      <c r="PWC30" s="1"/>
      <c r="PWD30" s="1"/>
      <c r="PWE30" s="1"/>
      <c r="PWF30" s="1"/>
      <c r="PWG30" s="1"/>
      <c r="PWH30" s="1"/>
      <c r="PWI30" s="1"/>
      <c r="PWJ30" s="1"/>
      <c r="PWK30" s="1"/>
      <c r="PWL30" s="1"/>
      <c r="PWM30" s="1"/>
      <c r="PWN30" s="1"/>
      <c r="PWO30" s="1"/>
      <c r="PWP30" s="1"/>
      <c r="PWQ30" s="1"/>
      <c r="PWR30" s="1"/>
      <c r="PWS30" s="1"/>
      <c r="PWT30" s="1"/>
      <c r="PWU30" s="1"/>
      <c r="PWV30" s="1"/>
      <c r="PWW30" s="1"/>
      <c r="PWX30" s="1"/>
      <c r="PWY30" s="1"/>
      <c r="PWZ30" s="1"/>
      <c r="PXA30" s="1"/>
      <c r="PXB30" s="1"/>
      <c r="PXC30" s="1"/>
      <c r="PXD30" s="1"/>
      <c r="PXE30" s="1"/>
      <c r="PXF30" s="1"/>
      <c r="PXG30" s="1"/>
      <c r="PXH30" s="1"/>
      <c r="PXI30" s="1"/>
      <c r="PXJ30" s="1"/>
      <c r="PXK30" s="1"/>
      <c r="PXL30" s="1"/>
      <c r="PXM30" s="1"/>
      <c r="PXN30" s="1"/>
      <c r="PXO30" s="1"/>
      <c r="PXP30" s="1"/>
      <c r="PXQ30" s="1"/>
      <c r="PXR30" s="1"/>
      <c r="PXS30" s="1"/>
      <c r="PXT30" s="1"/>
      <c r="PXU30" s="1"/>
      <c r="PXV30" s="1"/>
      <c r="PXW30" s="1"/>
      <c r="PXX30" s="1"/>
      <c r="PXY30" s="1"/>
      <c r="PXZ30" s="1"/>
      <c r="PYA30" s="1"/>
      <c r="PYB30" s="1"/>
      <c r="PYC30" s="1"/>
      <c r="PYD30" s="1"/>
      <c r="PYE30" s="1"/>
      <c r="PYF30" s="1"/>
      <c r="PYG30" s="1"/>
      <c r="PYH30" s="1"/>
      <c r="PYI30" s="1"/>
      <c r="PYJ30" s="1"/>
      <c r="PYK30" s="1"/>
      <c r="PYL30" s="1"/>
      <c r="PYM30" s="1"/>
      <c r="PYN30" s="1"/>
      <c r="PYO30" s="1"/>
      <c r="PYP30" s="1"/>
      <c r="PYQ30" s="1"/>
      <c r="PYR30" s="1"/>
      <c r="PYS30" s="1"/>
      <c r="PYT30" s="1"/>
      <c r="PYU30" s="1"/>
      <c r="PYV30" s="1"/>
      <c r="PYW30" s="1"/>
      <c r="PYX30" s="1"/>
      <c r="PYY30" s="1"/>
      <c r="PYZ30" s="1"/>
      <c r="PZA30" s="1"/>
      <c r="PZB30" s="1"/>
      <c r="PZC30" s="1"/>
      <c r="PZD30" s="1"/>
      <c r="PZE30" s="1"/>
      <c r="PZF30" s="1"/>
      <c r="PZG30" s="1"/>
      <c r="PZH30" s="1"/>
      <c r="PZI30" s="1"/>
      <c r="PZJ30" s="1"/>
      <c r="PZK30" s="1"/>
      <c r="PZL30" s="1"/>
      <c r="PZM30" s="1"/>
      <c r="PZN30" s="1"/>
      <c r="PZO30" s="1"/>
      <c r="PZP30" s="1"/>
      <c r="PZQ30" s="1"/>
      <c r="PZR30" s="1"/>
      <c r="PZS30" s="1"/>
      <c r="PZT30" s="1"/>
      <c r="PZU30" s="1"/>
      <c r="PZV30" s="1"/>
      <c r="PZW30" s="1"/>
      <c r="PZX30" s="1"/>
      <c r="PZY30" s="1"/>
      <c r="PZZ30" s="1"/>
      <c r="QAA30" s="1"/>
      <c r="QAB30" s="1"/>
      <c r="QAC30" s="1"/>
      <c r="QAD30" s="1"/>
      <c r="QAE30" s="1"/>
      <c r="QAF30" s="1"/>
      <c r="QAG30" s="1"/>
      <c r="QAH30" s="1"/>
      <c r="QAI30" s="1"/>
      <c r="QAJ30" s="1"/>
      <c r="QAK30" s="1"/>
      <c r="QAL30" s="1"/>
      <c r="QAM30" s="1"/>
      <c r="QAN30" s="1"/>
      <c r="QAO30" s="1"/>
      <c r="QAP30" s="1"/>
      <c r="QAQ30" s="1"/>
      <c r="QAR30" s="1"/>
      <c r="QAS30" s="1"/>
      <c r="QAT30" s="1"/>
      <c r="QAU30" s="1"/>
      <c r="QAV30" s="1"/>
      <c r="QAW30" s="1"/>
      <c r="QAX30" s="1"/>
      <c r="QAY30" s="1"/>
      <c r="QAZ30" s="1"/>
      <c r="QBA30" s="1"/>
      <c r="QBB30" s="1"/>
      <c r="QBC30" s="1"/>
      <c r="QBD30" s="1"/>
      <c r="QBE30" s="1"/>
      <c r="QBF30" s="1"/>
      <c r="QBG30" s="1"/>
      <c r="QBH30" s="1"/>
      <c r="QBI30" s="1"/>
      <c r="QBJ30" s="1"/>
      <c r="QBK30" s="1"/>
      <c r="QBL30" s="1"/>
      <c r="QBM30" s="1"/>
      <c r="QBN30" s="1"/>
      <c r="QBO30" s="1"/>
      <c r="QBP30" s="1"/>
      <c r="QBQ30" s="1"/>
      <c r="QBR30" s="1"/>
      <c r="QBS30" s="1"/>
      <c r="QBT30" s="1"/>
      <c r="QBU30" s="1"/>
      <c r="QBV30" s="1"/>
      <c r="QBW30" s="1"/>
      <c r="QBX30" s="1"/>
      <c r="QBY30" s="1"/>
      <c r="QBZ30" s="1"/>
      <c r="QCA30" s="1"/>
      <c r="QCB30" s="1"/>
      <c r="QCC30" s="1"/>
      <c r="QCD30" s="1"/>
      <c r="QCE30" s="1"/>
      <c r="QCF30" s="1"/>
      <c r="QCG30" s="1"/>
      <c r="QCH30" s="1"/>
      <c r="QCI30" s="1"/>
      <c r="QCJ30" s="1"/>
      <c r="QCK30" s="1"/>
      <c r="QCL30" s="1"/>
      <c r="QCM30" s="1"/>
      <c r="QCN30" s="1"/>
      <c r="QCO30" s="1"/>
      <c r="QCP30" s="1"/>
      <c r="QCQ30" s="1"/>
      <c r="QCR30" s="1"/>
      <c r="QCS30" s="1"/>
      <c r="QCT30" s="1"/>
      <c r="QCU30" s="1"/>
      <c r="QCV30" s="1"/>
      <c r="QCW30" s="1"/>
      <c r="QCX30" s="1"/>
      <c r="QCY30" s="1"/>
      <c r="QCZ30" s="1"/>
      <c r="QDA30" s="1"/>
      <c r="QDB30" s="1"/>
      <c r="QDC30" s="1"/>
      <c r="QDD30" s="1"/>
      <c r="QDE30" s="1"/>
      <c r="QDF30" s="1"/>
      <c r="QDG30" s="1"/>
      <c r="QDH30" s="1"/>
      <c r="QDI30" s="1"/>
      <c r="QDJ30" s="1"/>
      <c r="QDK30" s="1"/>
      <c r="QDL30" s="1"/>
      <c r="QDM30" s="1"/>
      <c r="QDN30" s="1"/>
      <c r="QDO30" s="1"/>
      <c r="QDP30" s="1"/>
      <c r="QDQ30" s="1"/>
      <c r="QDR30" s="1"/>
      <c r="QDS30" s="1"/>
      <c r="QDT30" s="1"/>
      <c r="QDU30" s="1"/>
      <c r="QDV30" s="1"/>
      <c r="QDW30" s="1"/>
      <c r="QDX30" s="1"/>
      <c r="QDY30" s="1"/>
      <c r="QDZ30" s="1"/>
      <c r="QEA30" s="1"/>
      <c r="QEB30" s="1"/>
      <c r="QEC30" s="1"/>
      <c r="QED30" s="1"/>
      <c r="QEE30" s="1"/>
      <c r="QEF30" s="1"/>
      <c r="QEG30" s="1"/>
      <c r="QEH30" s="1"/>
      <c r="QEI30" s="1"/>
      <c r="QEJ30" s="1"/>
      <c r="QEK30" s="1"/>
      <c r="QEL30" s="1"/>
      <c r="QEM30" s="1"/>
      <c r="QEN30" s="1"/>
      <c r="QEO30" s="1"/>
      <c r="QEP30" s="1"/>
      <c r="QEQ30" s="1"/>
      <c r="QER30" s="1"/>
      <c r="QES30" s="1"/>
      <c r="QET30" s="1"/>
      <c r="QEU30" s="1"/>
      <c r="QEV30" s="1"/>
      <c r="QEW30" s="1"/>
      <c r="QEX30" s="1"/>
      <c r="QEY30" s="1"/>
      <c r="QEZ30" s="1"/>
      <c r="QFA30" s="1"/>
      <c r="QFB30" s="1"/>
      <c r="QFC30" s="1"/>
      <c r="QFD30" s="1"/>
      <c r="QFE30" s="1"/>
      <c r="QFF30" s="1"/>
      <c r="QFG30" s="1"/>
      <c r="QFH30" s="1"/>
      <c r="QFI30" s="1"/>
      <c r="QFJ30" s="1"/>
      <c r="QFK30" s="1"/>
      <c r="QFL30" s="1"/>
      <c r="QFM30" s="1"/>
      <c r="QFN30" s="1"/>
      <c r="QFO30" s="1"/>
      <c r="QFP30" s="1"/>
      <c r="QFQ30" s="1"/>
      <c r="QFR30" s="1"/>
      <c r="QFS30" s="1"/>
      <c r="QFT30" s="1"/>
      <c r="QFU30" s="1"/>
      <c r="QFV30" s="1"/>
      <c r="QFW30" s="1"/>
      <c r="QFX30" s="1"/>
      <c r="QFY30" s="1"/>
      <c r="QFZ30" s="1"/>
      <c r="QGA30" s="1"/>
      <c r="QGB30" s="1"/>
      <c r="QGC30" s="1"/>
      <c r="QGD30" s="1"/>
      <c r="QGE30" s="1"/>
      <c r="QGF30" s="1"/>
      <c r="QGG30" s="1"/>
      <c r="QGH30" s="1"/>
      <c r="QGI30" s="1"/>
      <c r="QGJ30" s="1"/>
      <c r="QGK30" s="1"/>
      <c r="QGL30" s="1"/>
      <c r="QGM30" s="1"/>
      <c r="QGN30" s="1"/>
      <c r="QGO30" s="1"/>
      <c r="QGP30" s="1"/>
      <c r="QGQ30" s="1"/>
      <c r="QGR30" s="1"/>
      <c r="QGS30" s="1"/>
      <c r="QGT30" s="1"/>
      <c r="QGU30" s="1"/>
      <c r="QGV30" s="1"/>
      <c r="QGW30" s="1"/>
      <c r="QGX30" s="1"/>
      <c r="QGY30" s="1"/>
      <c r="QGZ30" s="1"/>
      <c r="QHA30" s="1"/>
      <c r="QHB30" s="1"/>
      <c r="QHC30" s="1"/>
      <c r="QHD30" s="1"/>
      <c r="QHE30" s="1"/>
      <c r="QHF30" s="1"/>
      <c r="QHG30" s="1"/>
      <c r="QHH30" s="1"/>
      <c r="QHI30" s="1"/>
      <c r="QHJ30" s="1"/>
      <c r="QHK30" s="1"/>
      <c r="QHL30" s="1"/>
      <c r="QHM30" s="1"/>
      <c r="QHN30" s="1"/>
      <c r="QHO30" s="1"/>
      <c r="QHP30" s="1"/>
      <c r="QHQ30" s="1"/>
      <c r="QHR30" s="1"/>
      <c r="QHS30" s="1"/>
      <c r="QHT30" s="1"/>
      <c r="QHU30" s="1"/>
      <c r="QHV30" s="1"/>
      <c r="QHW30" s="1"/>
      <c r="QHX30" s="1"/>
      <c r="QHY30" s="1"/>
      <c r="QHZ30" s="1"/>
      <c r="QIA30" s="1"/>
      <c r="QIB30" s="1"/>
      <c r="QIC30" s="1"/>
      <c r="QID30" s="1"/>
      <c r="QIE30" s="1"/>
      <c r="QIF30" s="1"/>
      <c r="QIG30" s="1"/>
      <c r="QIH30" s="1"/>
      <c r="QII30" s="1"/>
      <c r="QIJ30" s="1"/>
      <c r="QIK30" s="1"/>
      <c r="QIL30" s="1"/>
      <c r="QIM30" s="1"/>
      <c r="QIN30" s="1"/>
      <c r="QIO30" s="1"/>
      <c r="QIP30" s="1"/>
      <c r="QIQ30" s="1"/>
      <c r="QIR30" s="1"/>
      <c r="QIS30" s="1"/>
      <c r="QIT30" s="1"/>
      <c r="QIU30" s="1"/>
      <c r="QIV30" s="1"/>
      <c r="QIW30" s="1"/>
      <c r="QIX30" s="1"/>
      <c r="QIY30" s="1"/>
      <c r="QIZ30" s="1"/>
      <c r="QJA30" s="1"/>
      <c r="QJB30" s="1"/>
      <c r="QJC30" s="1"/>
      <c r="QJD30" s="1"/>
      <c r="QJE30" s="1"/>
      <c r="QJF30" s="1"/>
      <c r="QJG30" s="1"/>
      <c r="QJH30" s="1"/>
      <c r="QJI30" s="1"/>
      <c r="QJJ30" s="1"/>
      <c r="QJK30" s="1"/>
      <c r="QJL30" s="1"/>
      <c r="QJM30" s="1"/>
      <c r="QJN30" s="1"/>
      <c r="QJO30" s="1"/>
      <c r="QJP30" s="1"/>
      <c r="QJQ30" s="1"/>
      <c r="QJR30" s="1"/>
      <c r="QJS30" s="1"/>
      <c r="QJT30" s="1"/>
      <c r="QJU30" s="1"/>
      <c r="QJV30" s="1"/>
      <c r="QJW30" s="1"/>
      <c r="QJX30" s="1"/>
      <c r="QJY30" s="1"/>
      <c r="QJZ30" s="1"/>
      <c r="QKA30" s="1"/>
      <c r="QKB30" s="1"/>
      <c r="QKC30" s="1"/>
      <c r="QKD30" s="1"/>
      <c r="QKE30" s="1"/>
      <c r="QKF30" s="1"/>
      <c r="QKG30" s="1"/>
      <c r="QKH30" s="1"/>
      <c r="QKI30" s="1"/>
      <c r="QKJ30" s="1"/>
      <c r="QKK30" s="1"/>
      <c r="QKL30" s="1"/>
      <c r="QKM30" s="1"/>
      <c r="QKN30" s="1"/>
      <c r="QKO30" s="1"/>
      <c r="QKP30" s="1"/>
      <c r="QKQ30" s="1"/>
      <c r="QKR30" s="1"/>
      <c r="QKS30" s="1"/>
      <c r="QKT30" s="1"/>
      <c r="QKU30" s="1"/>
      <c r="QKV30" s="1"/>
      <c r="QKW30" s="1"/>
      <c r="QKX30" s="1"/>
      <c r="QKY30" s="1"/>
      <c r="QKZ30" s="1"/>
      <c r="QLA30" s="1"/>
      <c r="QLB30" s="1"/>
      <c r="QLC30" s="1"/>
      <c r="QLD30" s="1"/>
      <c r="QLE30" s="1"/>
      <c r="QLF30" s="1"/>
      <c r="QLG30" s="1"/>
      <c r="QLH30" s="1"/>
      <c r="QLI30" s="1"/>
      <c r="QLJ30" s="1"/>
      <c r="QLK30" s="1"/>
      <c r="QLL30" s="1"/>
      <c r="QLM30" s="1"/>
      <c r="QLN30" s="1"/>
      <c r="QLO30" s="1"/>
      <c r="QLP30" s="1"/>
      <c r="QLQ30" s="1"/>
      <c r="QLR30" s="1"/>
      <c r="QLS30" s="1"/>
      <c r="QLT30" s="1"/>
      <c r="QLU30" s="1"/>
      <c r="QLV30" s="1"/>
      <c r="QLW30" s="1"/>
      <c r="QLX30" s="1"/>
      <c r="QLY30" s="1"/>
      <c r="QLZ30" s="1"/>
      <c r="QMA30" s="1"/>
      <c r="QMB30" s="1"/>
      <c r="QMC30" s="1"/>
      <c r="QMD30" s="1"/>
      <c r="QME30" s="1"/>
      <c r="QMF30" s="1"/>
      <c r="QMG30" s="1"/>
      <c r="QMH30" s="1"/>
      <c r="QMI30" s="1"/>
      <c r="QMJ30" s="1"/>
      <c r="QMK30" s="1"/>
      <c r="QML30" s="1"/>
      <c r="QMM30" s="1"/>
      <c r="QMN30" s="1"/>
      <c r="QMO30" s="1"/>
      <c r="QMP30" s="1"/>
      <c r="QMQ30" s="1"/>
      <c r="QMR30" s="1"/>
      <c r="QMS30" s="1"/>
      <c r="QMT30" s="1"/>
      <c r="QMU30" s="1"/>
      <c r="QMV30" s="1"/>
      <c r="QMW30" s="1"/>
      <c r="QMX30" s="1"/>
      <c r="QMY30" s="1"/>
      <c r="QMZ30" s="1"/>
      <c r="QNA30" s="1"/>
      <c r="QNB30" s="1"/>
      <c r="QNC30" s="1"/>
      <c r="QND30" s="1"/>
      <c r="QNE30" s="1"/>
      <c r="QNF30" s="1"/>
      <c r="QNG30" s="1"/>
      <c r="QNH30" s="1"/>
      <c r="QNI30" s="1"/>
      <c r="QNJ30" s="1"/>
      <c r="QNK30" s="1"/>
      <c r="QNL30" s="1"/>
      <c r="QNM30" s="1"/>
      <c r="QNN30" s="1"/>
      <c r="QNO30" s="1"/>
      <c r="QNP30" s="1"/>
      <c r="QNQ30" s="1"/>
      <c r="QNR30" s="1"/>
      <c r="QNS30" s="1"/>
      <c r="QNT30" s="1"/>
      <c r="QNU30" s="1"/>
      <c r="QNV30" s="1"/>
      <c r="QNW30" s="1"/>
      <c r="QNX30" s="1"/>
      <c r="QNY30" s="1"/>
      <c r="QNZ30" s="1"/>
      <c r="QOA30" s="1"/>
      <c r="QOB30" s="1"/>
      <c r="QOC30" s="1"/>
      <c r="QOD30" s="1"/>
      <c r="QOE30" s="1"/>
      <c r="QOF30" s="1"/>
      <c r="QOG30" s="1"/>
      <c r="QOH30" s="1"/>
      <c r="QOI30" s="1"/>
      <c r="QOJ30" s="1"/>
      <c r="QOK30" s="1"/>
      <c r="QOL30" s="1"/>
      <c r="QOM30" s="1"/>
      <c r="QON30" s="1"/>
      <c r="QOO30" s="1"/>
      <c r="QOP30" s="1"/>
      <c r="QOQ30" s="1"/>
      <c r="QOR30" s="1"/>
      <c r="QOS30" s="1"/>
      <c r="QOT30" s="1"/>
      <c r="QOU30" s="1"/>
      <c r="QOV30" s="1"/>
      <c r="QOW30" s="1"/>
      <c r="QOX30" s="1"/>
      <c r="QOY30" s="1"/>
      <c r="QOZ30" s="1"/>
      <c r="QPA30" s="1"/>
      <c r="QPB30" s="1"/>
      <c r="QPC30" s="1"/>
      <c r="QPD30" s="1"/>
      <c r="QPE30" s="1"/>
      <c r="QPF30" s="1"/>
      <c r="QPG30" s="1"/>
      <c r="QPH30" s="1"/>
      <c r="QPI30" s="1"/>
      <c r="QPJ30" s="1"/>
      <c r="QPK30" s="1"/>
      <c r="QPL30" s="1"/>
      <c r="QPM30" s="1"/>
      <c r="QPN30" s="1"/>
      <c r="QPO30" s="1"/>
      <c r="QPP30" s="1"/>
      <c r="QPQ30" s="1"/>
      <c r="QPR30" s="1"/>
      <c r="QPS30" s="1"/>
      <c r="QPT30" s="1"/>
      <c r="QPU30" s="1"/>
      <c r="QPV30" s="1"/>
      <c r="QPW30" s="1"/>
      <c r="QPX30" s="1"/>
      <c r="QPY30" s="1"/>
      <c r="QPZ30" s="1"/>
      <c r="QQA30" s="1"/>
      <c r="QQB30" s="1"/>
      <c r="QQC30" s="1"/>
      <c r="QQD30" s="1"/>
      <c r="QQE30" s="1"/>
      <c r="QQF30" s="1"/>
      <c r="QQG30" s="1"/>
      <c r="QQH30" s="1"/>
      <c r="QQI30" s="1"/>
      <c r="QQJ30" s="1"/>
      <c r="QQK30" s="1"/>
      <c r="QQL30" s="1"/>
      <c r="QQM30" s="1"/>
      <c r="QQN30" s="1"/>
      <c r="QQO30" s="1"/>
      <c r="QQP30" s="1"/>
      <c r="QQQ30" s="1"/>
      <c r="QQR30" s="1"/>
      <c r="QQS30" s="1"/>
      <c r="QQT30" s="1"/>
      <c r="QQU30" s="1"/>
      <c r="QQV30" s="1"/>
      <c r="QQW30" s="1"/>
      <c r="QQX30" s="1"/>
      <c r="QQY30" s="1"/>
      <c r="QQZ30" s="1"/>
      <c r="QRA30" s="1"/>
      <c r="QRB30" s="1"/>
      <c r="QRC30" s="1"/>
      <c r="QRD30" s="1"/>
      <c r="QRE30" s="1"/>
      <c r="QRF30" s="1"/>
      <c r="QRG30" s="1"/>
      <c r="QRH30" s="1"/>
      <c r="QRI30" s="1"/>
      <c r="QRJ30" s="1"/>
      <c r="QRK30" s="1"/>
      <c r="QRL30" s="1"/>
      <c r="QRM30" s="1"/>
      <c r="QRN30" s="1"/>
      <c r="QRO30" s="1"/>
      <c r="QRP30" s="1"/>
      <c r="QRQ30" s="1"/>
      <c r="QRR30" s="1"/>
      <c r="QRS30" s="1"/>
      <c r="QRT30" s="1"/>
      <c r="QRU30" s="1"/>
      <c r="QRV30" s="1"/>
      <c r="QRW30" s="1"/>
      <c r="QRX30" s="1"/>
      <c r="QRY30" s="1"/>
      <c r="QRZ30" s="1"/>
      <c r="QSA30" s="1"/>
      <c r="QSB30" s="1"/>
      <c r="QSC30" s="1"/>
      <c r="QSD30" s="1"/>
      <c r="QSE30" s="1"/>
      <c r="QSF30" s="1"/>
      <c r="QSG30" s="1"/>
      <c r="QSH30" s="1"/>
      <c r="QSI30" s="1"/>
      <c r="QSJ30" s="1"/>
      <c r="QSK30" s="1"/>
      <c r="QSL30" s="1"/>
      <c r="QSM30" s="1"/>
      <c r="QSN30" s="1"/>
      <c r="QSO30" s="1"/>
      <c r="QSP30" s="1"/>
      <c r="QSQ30" s="1"/>
      <c r="QSR30" s="1"/>
      <c r="QSS30" s="1"/>
      <c r="QST30" s="1"/>
      <c r="QSU30" s="1"/>
      <c r="QSV30" s="1"/>
      <c r="QSW30" s="1"/>
      <c r="QSX30" s="1"/>
      <c r="QSY30" s="1"/>
      <c r="QSZ30" s="1"/>
      <c r="QTA30" s="1"/>
      <c r="QTB30" s="1"/>
      <c r="QTC30" s="1"/>
      <c r="QTD30" s="1"/>
      <c r="QTE30" s="1"/>
      <c r="QTF30" s="1"/>
      <c r="QTG30" s="1"/>
      <c r="QTH30" s="1"/>
      <c r="QTI30" s="1"/>
      <c r="QTJ30" s="1"/>
      <c r="QTK30" s="1"/>
      <c r="QTL30" s="1"/>
      <c r="QTM30" s="1"/>
      <c r="QTN30" s="1"/>
      <c r="QTO30" s="1"/>
      <c r="QTP30" s="1"/>
      <c r="QTQ30" s="1"/>
      <c r="QTR30" s="1"/>
      <c r="QTS30" s="1"/>
      <c r="QTT30" s="1"/>
      <c r="QTU30" s="1"/>
      <c r="QTV30" s="1"/>
      <c r="QTW30" s="1"/>
      <c r="QTX30" s="1"/>
      <c r="QTY30" s="1"/>
      <c r="QTZ30" s="1"/>
      <c r="QUA30" s="1"/>
      <c r="QUB30" s="1"/>
      <c r="QUC30" s="1"/>
      <c r="QUD30" s="1"/>
      <c r="QUE30" s="1"/>
      <c r="QUF30" s="1"/>
      <c r="QUG30" s="1"/>
      <c r="QUH30" s="1"/>
      <c r="QUI30" s="1"/>
      <c r="QUJ30" s="1"/>
      <c r="QUK30" s="1"/>
      <c r="QUL30" s="1"/>
      <c r="QUM30" s="1"/>
      <c r="QUN30" s="1"/>
      <c r="QUO30" s="1"/>
      <c r="QUP30" s="1"/>
      <c r="QUQ30" s="1"/>
      <c r="QUR30" s="1"/>
      <c r="QUS30" s="1"/>
      <c r="QUT30" s="1"/>
      <c r="QUU30" s="1"/>
      <c r="QUV30" s="1"/>
      <c r="QUW30" s="1"/>
      <c r="QUX30" s="1"/>
      <c r="QUY30" s="1"/>
      <c r="QUZ30" s="1"/>
      <c r="QVA30" s="1"/>
      <c r="QVB30" s="1"/>
      <c r="QVC30" s="1"/>
      <c r="QVD30" s="1"/>
      <c r="QVE30" s="1"/>
      <c r="QVF30" s="1"/>
      <c r="QVG30" s="1"/>
      <c r="QVH30" s="1"/>
      <c r="QVI30" s="1"/>
      <c r="QVJ30" s="1"/>
      <c r="QVK30" s="1"/>
      <c r="QVL30" s="1"/>
      <c r="QVM30" s="1"/>
      <c r="QVN30" s="1"/>
      <c r="QVO30" s="1"/>
      <c r="QVP30" s="1"/>
      <c r="QVQ30" s="1"/>
      <c r="QVR30" s="1"/>
      <c r="QVS30" s="1"/>
      <c r="QVT30" s="1"/>
      <c r="QVU30" s="1"/>
      <c r="QVV30" s="1"/>
      <c r="QVW30" s="1"/>
      <c r="QVX30" s="1"/>
      <c r="QVY30" s="1"/>
      <c r="QVZ30" s="1"/>
      <c r="QWA30" s="1"/>
      <c r="QWB30" s="1"/>
      <c r="QWC30" s="1"/>
      <c r="QWD30" s="1"/>
      <c r="QWE30" s="1"/>
      <c r="QWF30" s="1"/>
      <c r="QWG30" s="1"/>
      <c r="QWH30" s="1"/>
      <c r="QWI30" s="1"/>
      <c r="QWJ30" s="1"/>
      <c r="QWK30" s="1"/>
      <c r="QWL30" s="1"/>
      <c r="QWM30" s="1"/>
      <c r="QWN30" s="1"/>
      <c r="QWO30" s="1"/>
      <c r="QWP30" s="1"/>
      <c r="QWQ30" s="1"/>
      <c r="QWR30" s="1"/>
      <c r="QWS30" s="1"/>
      <c r="QWT30" s="1"/>
      <c r="QWU30" s="1"/>
      <c r="QWV30" s="1"/>
      <c r="QWW30" s="1"/>
      <c r="QWX30" s="1"/>
      <c r="QWY30" s="1"/>
      <c r="QWZ30" s="1"/>
      <c r="QXA30" s="1"/>
      <c r="QXB30" s="1"/>
      <c r="QXC30" s="1"/>
      <c r="QXD30" s="1"/>
      <c r="QXE30" s="1"/>
      <c r="QXF30" s="1"/>
      <c r="QXG30" s="1"/>
      <c r="QXH30" s="1"/>
      <c r="QXI30" s="1"/>
      <c r="QXJ30" s="1"/>
      <c r="QXK30" s="1"/>
      <c r="QXL30" s="1"/>
      <c r="QXM30" s="1"/>
      <c r="QXN30" s="1"/>
      <c r="QXO30" s="1"/>
      <c r="QXP30" s="1"/>
      <c r="QXQ30" s="1"/>
      <c r="QXR30" s="1"/>
      <c r="QXS30" s="1"/>
      <c r="QXT30" s="1"/>
      <c r="QXU30" s="1"/>
      <c r="QXV30" s="1"/>
      <c r="QXW30" s="1"/>
      <c r="QXX30" s="1"/>
      <c r="QXY30" s="1"/>
      <c r="QXZ30" s="1"/>
      <c r="QYA30" s="1"/>
      <c r="QYB30" s="1"/>
      <c r="QYC30" s="1"/>
      <c r="QYD30" s="1"/>
      <c r="QYE30" s="1"/>
      <c r="QYF30" s="1"/>
      <c r="QYG30" s="1"/>
      <c r="QYH30" s="1"/>
      <c r="QYI30" s="1"/>
      <c r="QYJ30" s="1"/>
      <c r="QYK30" s="1"/>
      <c r="QYL30" s="1"/>
      <c r="QYM30" s="1"/>
      <c r="QYN30" s="1"/>
      <c r="QYO30" s="1"/>
      <c r="QYP30" s="1"/>
      <c r="QYQ30" s="1"/>
      <c r="QYR30" s="1"/>
      <c r="QYS30" s="1"/>
      <c r="QYT30" s="1"/>
      <c r="QYU30" s="1"/>
      <c r="QYV30" s="1"/>
      <c r="QYW30" s="1"/>
      <c r="QYX30" s="1"/>
      <c r="QYY30" s="1"/>
      <c r="QYZ30" s="1"/>
      <c r="QZA30" s="1"/>
      <c r="QZB30" s="1"/>
      <c r="QZC30" s="1"/>
      <c r="QZD30" s="1"/>
      <c r="QZE30" s="1"/>
      <c r="QZF30" s="1"/>
      <c r="QZG30" s="1"/>
      <c r="QZH30" s="1"/>
      <c r="QZI30" s="1"/>
      <c r="QZJ30" s="1"/>
      <c r="QZK30" s="1"/>
      <c r="QZL30" s="1"/>
      <c r="QZM30" s="1"/>
      <c r="QZN30" s="1"/>
      <c r="QZO30" s="1"/>
      <c r="QZP30" s="1"/>
      <c r="QZQ30" s="1"/>
      <c r="QZR30" s="1"/>
      <c r="QZS30" s="1"/>
      <c r="QZT30" s="1"/>
      <c r="QZU30" s="1"/>
      <c r="QZV30" s="1"/>
      <c r="QZW30" s="1"/>
      <c r="QZX30" s="1"/>
      <c r="QZY30" s="1"/>
      <c r="QZZ30" s="1"/>
      <c r="RAA30" s="1"/>
      <c r="RAB30" s="1"/>
      <c r="RAC30" s="1"/>
      <c r="RAD30" s="1"/>
      <c r="RAE30" s="1"/>
      <c r="RAF30" s="1"/>
      <c r="RAG30" s="1"/>
      <c r="RAH30" s="1"/>
      <c r="RAI30" s="1"/>
      <c r="RAJ30" s="1"/>
      <c r="RAK30" s="1"/>
      <c r="RAL30" s="1"/>
      <c r="RAM30" s="1"/>
      <c r="RAN30" s="1"/>
      <c r="RAO30" s="1"/>
      <c r="RAP30" s="1"/>
      <c r="RAQ30" s="1"/>
      <c r="RAR30" s="1"/>
      <c r="RAS30" s="1"/>
      <c r="RAT30" s="1"/>
      <c r="RAU30" s="1"/>
      <c r="RAV30" s="1"/>
      <c r="RAW30" s="1"/>
      <c r="RAX30" s="1"/>
      <c r="RAY30" s="1"/>
      <c r="RAZ30" s="1"/>
      <c r="RBA30" s="1"/>
      <c r="RBB30" s="1"/>
      <c r="RBC30" s="1"/>
      <c r="RBD30" s="1"/>
      <c r="RBE30" s="1"/>
      <c r="RBF30" s="1"/>
      <c r="RBG30" s="1"/>
      <c r="RBH30" s="1"/>
      <c r="RBI30" s="1"/>
      <c r="RBJ30" s="1"/>
      <c r="RBK30" s="1"/>
      <c r="RBL30" s="1"/>
      <c r="RBM30" s="1"/>
      <c r="RBN30" s="1"/>
      <c r="RBO30" s="1"/>
      <c r="RBP30" s="1"/>
      <c r="RBQ30" s="1"/>
      <c r="RBR30" s="1"/>
      <c r="RBS30" s="1"/>
      <c r="RBT30" s="1"/>
      <c r="RBU30" s="1"/>
      <c r="RBV30" s="1"/>
      <c r="RBW30" s="1"/>
      <c r="RBX30" s="1"/>
      <c r="RBY30" s="1"/>
      <c r="RBZ30" s="1"/>
      <c r="RCA30" s="1"/>
      <c r="RCB30" s="1"/>
      <c r="RCC30" s="1"/>
      <c r="RCD30" s="1"/>
      <c r="RCE30" s="1"/>
      <c r="RCF30" s="1"/>
      <c r="RCG30" s="1"/>
      <c r="RCH30" s="1"/>
      <c r="RCI30" s="1"/>
      <c r="RCJ30" s="1"/>
      <c r="RCK30" s="1"/>
      <c r="RCL30" s="1"/>
      <c r="RCM30" s="1"/>
      <c r="RCN30" s="1"/>
      <c r="RCO30" s="1"/>
      <c r="RCP30" s="1"/>
      <c r="RCQ30" s="1"/>
      <c r="RCR30" s="1"/>
      <c r="RCS30" s="1"/>
      <c r="RCT30" s="1"/>
      <c r="RCU30" s="1"/>
      <c r="RCV30" s="1"/>
      <c r="RCW30" s="1"/>
      <c r="RCX30" s="1"/>
      <c r="RCY30" s="1"/>
      <c r="RCZ30" s="1"/>
      <c r="RDA30" s="1"/>
      <c r="RDB30" s="1"/>
      <c r="RDC30" s="1"/>
      <c r="RDD30" s="1"/>
      <c r="RDE30" s="1"/>
      <c r="RDF30" s="1"/>
      <c r="RDG30" s="1"/>
      <c r="RDH30" s="1"/>
      <c r="RDI30" s="1"/>
      <c r="RDJ30" s="1"/>
      <c r="RDK30" s="1"/>
      <c r="RDL30" s="1"/>
      <c r="RDM30" s="1"/>
      <c r="RDN30" s="1"/>
      <c r="RDO30" s="1"/>
      <c r="RDP30" s="1"/>
      <c r="RDQ30" s="1"/>
      <c r="RDR30" s="1"/>
      <c r="RDS30" s="1"/>
      <c r="RDT30" s="1"/>
      <c r="RDU30" s="1"/>
      <c r="RDV30" s="1"/>
      <c r="RDW30" s="1"/>
      <c r="RDX30" s="1"/>
      <c r="RDY30" s="1"/>
      <c r="RDZ30" s="1"/>
      <c r="REA30" s="1"/>
      <c r="REB30" s="1"/>
      <c r="REC30" s="1"/>
      <c r="RED30" s="1"/>
      <c r="REE30" s="1"/>
      <c r="REF30" s="1"/>
      <c r="REG30" s="1"/>
      <c r="REH30" s="1"/>
      <c r="REI30" s="1"/>
      <c r="REJ30" s="1"/>
      <c r="REK30" s="1"/>
      <c r="REL30" s="1"/>
      <c r="REM30" s="1"/>
      <c r="REN30" s="1"/>
      <c r="REO30" s="1"/>
      <c r="REP30" s="1"/>
      <c r="REQ30" s="1"/>
      <c r="RER30" s="1"/>
      <c r="RES30" s="1"/>
      <c r="RET30" s="1"/>
      <c r="REU30" s="1"/>
      <c r="REV30" s="1"/>
      <c r="REW30" s="1"/>
      <c r="REX30" s="1"/>
      <c r="REY30" s="1"/>
      <c r="REZ30" s="1"/>
      <c r="RFA30" s="1"/>
      <c r="RFB30" s="1"/>
      <c r="RFC30" s="1"/>
      <c r="RFD30" s="1"/>
      <c r="RFE30" s="1"/>
      <c r="RFF30" s="1"/>
      <c r="RFG30" s="1"/>
      <c r="RFH30" s="1"/>
      <c r="RFI30" s="1"/>
      <c r="RFJ30" s="1"/>
      <c r="RFK30" s="1"/>
      <c r="RFL30" s="1"/>
      <c r="RFM30" s="1"/>
      <c r="RFN30" s="1"/>
      <c r="RFO30" s="1"/>
      <c r="RFP30" s="1"/>
      <c r="RFQ30" s="1"/>
      <c r="RFR30" s="1"/>
      <c r="RFS30" s="1"/>
      <c r="RFT30" s="1"/>
      <c r="RFU30" s="1"/>
      <c r="RFV30" s="1"/>
      <c r="RFW30" s="1"/>
      <c r="RFX30" s="1"/>
      <c r="RFY30" s="1"/>
      <c r="RFZ30" s="1"/>
      <c r="RGA30" s="1"/>
      <c r="RGB30" s="1"/>
      <c r="RGC30" s="1"/>
      <c r="RGD30" s="1"/>
      <c r="RGE30" s="1"/>
      <c r="RGF30" s="1"/>
      <c r="RGG30" s="1"/>
      <c r="RGH30" s="1"/>
      <c r="RGI30" s="1"/>
      <c r="RGJ30" s="1"/>
      <c r="RGK30" s="1"/>
      <c r="RGL30" s="1"/>
      <c r="RGM30" s="1"/>
      <c r="RGN30" s="1"/>
      <c r="RGO30" s="1"/>
      <c r="RGP30" s="1"/>
      <c r="RGQ30" s="1"/>
      <c r="RGR30" s="1"/>
      <c r="RGS30" s="1"/>
      <c r="RGT30" s="1"/>
      <c r="RGU30" s="1"/>
      <c r="RGV30" s="1"/>
      <c r="RGW30" s="1"/>
      <c r="RGX30" s="1"/>
      <c r="RGY30" s="1"/>
      <c r="RGZ30" s="1"/>
      <c r="RHA30" s="1"/>
      <c r="RHB30" s="1"/>
      <c r="RHC30" s="1"/>
      <c r="RHD30" s="1"/>
      <c r="RHE30" s="1"/>
      <c r="RHF30" s="1"/>
      <c r="RHG30" s="1"/>
      <c r="RHH30" s="1"/>
      <c r="RHI30" s="1"/>
      <c r="RHJ30" s="1"/>
      <c r="RHK30" s="1"/>
      <c r="RHL30" s="1"/>
      <c r="RHM30" s="1"/>
      <c r="RHN30" s="1"/>
      <c r="RHO30" s="1"/>
      <c r="RHP30" s="1"/>
      <c r="RHQ30" s="1"/>
      <c r="RHR30" s="1"/>
      <c r="RHS30" s="1"/>
      <c r="RHT30" s="1"/>
      <c r="RHU30" s="1"/>
      <c r="RHV30" s="1"/>
      <c r="RHW30" s="1"/>
      <c r="RHX30" s="1"/>
      <c r="RHY30" s="1"/>
      <c r="RHZ30" s="1"/>
      <c r="RIA30" s="1"/>
      <c r="RIB30" s="1"/>
      <c r="RIC30" s="1"/>
      <c r="RID30" s="1"/>
      <c r="RIE30" s="1"/>
      <c r="RIF30" s="1"/>
      <c r="RIG30" s="1"/>
      <c r="RIH30" s="1"/>
      <c r="RII30" s="1"/>
      <c r="RIJ30" s="1"/>
      <c r="RIK30" s="1"/>
      <c r="RIL30" s="1"/>
      <c r="RIM30" s="1"/>
      <c r="RIN30" s="1"/>
      <c r="RIO30" s="1"/>
      <c r="RIP30" s="1"/>
      <c r="RIQ30" s="1"/>
      <c r="RIR30" s="1"/>
      <c r="RIS30" s="1"/>
      <c r="RIT30" s="1"/>
      <c r="RIU30" s="1"/>
      <c r="RIV30" s="1"/>
      <c r="RIW30" s="1"/>
      <c r="RIX30" s="1"/>
      <c r="RIY30" s="1"/>
      <c r="RIZ30" s="1"/>
      <c r="RJA30" s="1"/>
      <c r="RJB30" s="1"/>
      <c r="RJC30" s="1"/>
      <c r="RJD30" s="1"/>
      <c r="RJE30" s="1"/>
      <c r="RJF30" s="1"/>
      <c r="RJG30" s="1"/>
      <c r="RJH30" s="1"/>
      <c r="RJI30" s="1"/>
      <c r="RJJ30" s="1"/>
      <c r="RJK30" s="1"/>
      <c r="RJL30" s="1"/>
      <c r="RJM30" s="1"/>
      <c r="RJN30" s="1"/>
      <c r="RJO30" s="1"/>
      <c r="RJP30" s="1"/>
      <c r="RJQ30" s="1"/>
      <c r="RJR30" s="1"/>
      <c r="RJS30" s="1"/>
      <c r="RJT30" s="1"/>
      <c r="RJU30" s="1"/>
      <c r="RJV30" s="1"/>
      <c r="RJW30" s="1"/>
      <c r="RJX30" s="1"/>
      <c r="RJY30" s="1"/>
      <c r="RJZ30" s="1"/>
      <c r="RKA30" s="1"/>
      <c r="RKB30" s="1"/>
      <c r="RKC30" s="1"/>
      <c r="RKD30" s="1"/>
      <c r="RKE30" s="1"/>
      <c r="RKF30" s="1"/>
      <c r="RKG30" s="1"/>
      <c r="RKH30" s="1"/>
      <c r="RKI30" s="1"/>
      <c r="RKJ30" s="1"/>
      <c r="RKK30" s="1"/>
      <c r="RKL30" s="1"/>
      <c r="RKM30" s="1"/>
      <c r="RKN30" s="1"/>
      <c r="RKO30" s="1"/>
      <c r="RKP30" s="1"/>
      <c r="RKQ30" s="1"/>
      <c r="RKR30" s="1"/>
      <c r="RKS30" s="1"/>
      <c r="RKT30" s="1"/>
      <c r="RKU30" s="1"/>
      <c r="RKV30" s="1"/>
      <c r="RKW30" s="1"/>
      <c r="RKX30" s="1"/>
      <c r="RKY30" s="1"/>
      <c r="RKZ30" s="1"/>
      <c r="RLA30" s="1"/>
      <c r="RLB30" s="1"/>
      <c r="RLC30" s="1"/>
      <c r="RLD30" s="1"/>
      <c r="RLE30" s="1"/>
      <c r="RLF30" s="1"/>
      <c r="RLG30" s="1"/>
      <c r="RLH30" s="1"/>
      <c r="RLI30" s="1"/>
      <c r="RLJ30" s="1"/>
      <c r="RLK30" s="1"/>
      <c r="RLL30" s="1"/>
      <c r="RLM30" s="1"/>
      <c r="RLN30" s="1"/>
      <c r="RLO30" s="1"/>
      <c r="RLP30" s="1"/>
      <c r="RLQ30" s="1"/>
      <c r="RLR30" s="1"/>
      <c r="RLS30" s="1"/>
      <c r="RLT30" s="1"/>
      <c r="RLU30" s="1"/>
      <c r="RLV30" s="1"/>
      <c r="RLW30" s="1"/>
      <c r="RLX30" s="1"/>
      <c r="RLY30" s="1"/>
      <c r="RLZ30" s="1"/>
      <c r="RMA30" s="1"/>
      <c r="RMB30" s="1"/>
      <c r="RMC30" s="1"/>
      <c r="RMD30" s="1"/>
      <c r="RME30" s="1"/>
      <c r="RMF30" s="1"/>
      <c r="RMG30" s="1"/>
      <c r="RMH30" s="1"/>
      <c r="RMI30" s="1"/>
      <c r="RMJ30" s="1"/>
      <c r="RMK30" s="1"/>
      <c r="RML30" s="1"/>
      <c r="RMM30" s="1"/>
      <c r="RMN30" s="1"/>
      <c r="RMO30" s="1"/>
      <c r="RMP30" s="1"/>
      <c r="RMQ30" s="1"/>
      <c r="RMR30" s="1"/>
      <c r="RMS30" s="1"/>
      <c r="RMT30" s="1"/>
      <c r="RMU30" s="1"/>
      <c r="RMV30" s="1"/>
      <c r="RMW30" s="1"/>
      <c r="RMX30" s="1"/>
      <c r="RMY30" s="1"/>
      <c r="RMZ30" s="1"/>
      <c r="RNA30" s="1"/>
      <c r="RNB30" s="1"/>
      <c r="RNC30" s="1"/>
      <c r="RND30" s="1"/>
      <c r="RNE30" s="1"/>
      <c r="RNF30" s="1"/>
      <c r="RNG30" s="1"/>
      <c r="RNH30" s="1"/>
      <c r="RNI30" s="1"/>
      <c r="RNJ30" s="1"/>
      <c r="RNK30" s="1"/>
      <c r="RNL30" s="1"/>
      <c r="RNM30" s="1"/>
      <c r="RNN30" s="1"/>
      <c r="RNO30" s="1"/>
      <c r="RNP30" s="1"/>
      <c r="RNQ30" s="1"/>
      <c r="RNR30" s="1"/>
      <c r="RNS30" s="1"/>
      <c r="RNT30" s="1"/>
      <c r="RNU30" s="1"/>
      <c r="RNV30" s="1"/>
      <c r="RNW30" s="1"/>
      <c r="RNX30" s="1"/>
      <c r="RNY30" s="1"/>
      <c r="RNZ30" s="1"/>
      <c r="ROA30" s="1"/>
      <c r="ROB30" s="1"/>
      <c r="ROC30" s="1"/>
      <c r="ROD30" s="1"/>
      <c r="ROE30" s="1"/>
      <c r="ROF30" s="1"/>
      <c r="ROG30" s="1"/>
      <c r="ROH30" s="1"/>
      <c r="ROI30" s="1"/>
      <c r="ROJ30" s="1"/>
      <c r="ROK30" s="1"/>
      <c r="ROL30" s="1"/>
      <c r="ROM30" s="1"/>
      <c r="RON30" s="1"/>
      <c r="ROO30" s="1"/>
      <c r="ROP30" s="1"/>
      <c r="ROQ30" s="1"/>
      <c r="ROR30" s="1"/>
      <c r="ROS30" s="1"/>
      <c r="ROT30" s="1"/>
      <c r="ROU30" s="1"/>
      <c r="ROV30" s="1"/>
      <c r="ROW30" s="1"/>
      <c r="ROX30" s="1"/>
      <c r="ROY30" s="1"/>
      <c r="ROZ30" s="1"/>
      <c r="RPA30" s="1"/>
      <c r="RPB30" s="1"/>
      <c r="RPC30" s="1"/>
      <c r="RPD30" s="1"/>
      <c r="RPE30" s="1"/>
      <c r="RPF30" s="1"/>
      <c r="RPG30" s="1"/>
      <c r="RPH30" s="1"/>
      <c r="RPI30" s="1"/>
      <c r="RPJ30" s="1"/>
      <c r="RPK30" s="1"/>
      <c r="RPL30" s="1"/>
      <c r="RPM30" s="1"/>
      <c r="RPN30" s="1"/>
      <c r="RPO30" s="1"/>
      <c r="RPP30" s="1"/>
      <c r="RPQ30" s="1"/>
      <c r="RPR30" s="1"/>
      <c r="RPS30" s="1"/>
      <c r="RPT30" s="1"/>
      <c r="RPU30" s="1"/>
      <c r="RPV30" s="1"/>
      <c r="RPW30" s="1"/>
      <c r="RPX30" s="1"/>
      <c r="RPY30" s="1"/>
      <c r="RPZ30" s="1"/>
      <c r="RQA30" s="1"/>
      <c r="RQB30" s="1"/>
      <c r="RQC30" s="1"/>
      <c r="RQD30" s="1"/>
      <c r="RQE30" s="1"/>
      <c r="RQF30" s="1"/>
      <c r="RQG30" s="1"/>
      <c r="RQH30" s="1"/>
      <c r="RQI30" s="1"/>
      <c r="RQJ30" s="1"/>
      <c r="RQK30" s="1"/>
      <c r="RQL30" s="1"/>
      <c r="RQM30" s="1"/>
      <c r="RQN30" s="1"/>
      <c r="RQO30" s="1"/>
      <c r="RQP30" s="1"/>
      <c r="RQQ30" s="1"/>
      <c r="RQR30" s="1"/>
      <c r="RQS30" s="1"/>
      <c r="RQT30" s="1"/>
      <c r="RQU30" s="1"/>
      <c r="RQV30" s="1"/>
      <c r="RQW30" s="1"/>
      <c r="RQX30" s="1"/>
      <c r="RQY30" s="1"/>
      <c r="RQZ30" s="1"/>
      <c r="RRA30" s="1"/>
      <c r="RRB30" s="1"/>
      <c r="RRC30" s="1"/>
      <c r="RRD30" s="1"/>
      <c r="RRE30" s="1"/>
      <c r="RRF30" s="1"/>
      <c r="RRG30" s="1"/>
      <c r="RRH30" s="1"/>
      <c r="RRI30" s="1"/>
      <c r="RRJ30" s="1"/>
      <c r="RRK30" s="1"/>
      <c r="RRL30" s="1"/>
      <c r="RRM30" s="1"/>
      <c r="RRN30" s="1"/>
      <c r="RRO30" s="1"/>
      <c r="RRP30" s="1"/>
      <c r="RRQ30" s="1"/>
      <c r="RRR30" s="1"/>
      <c r="RRS30" s="1"/>
      <c r="RRT30" s="1"/>
      <c r="RRU30" s="1"/>
      <c r="RRV30" s="1"/>
      <c r="RRW30" s="1"/>
      <c r="RRX30" s="1"/>
      <c r="RRY30" s="1"/>
      <c r="RRZ30" s="1"/>
      <c r="RSA30" s="1"/>
      <c r="RSB30" s="1"/>
      <c r="RSC30" s="1"/>
      <c r="RSD30" s="1"/>
      <c r="RSE30" s="1"/>
      <c r="RSF30" s="1"/>
      <c r="RSG30" s="1"/>
      <c r="RSH30" s="1"/>
      <c r="RSI30" s="1"/>
      <c r="RSJ30" s="1"/>
      <c r="RSK30" s="1"/>
      <c r="RSL30" s="1"/>
      <c r="RSM30" s="1"/>
      <c r="RSN30" s="1"/>
      <c r="RSO30" s="1"/>
      <c r="RSP30" s="1"/>
      <c r="RSQ30" s="1"/>
      <c r="RSR30" s="1"/>
      <c r="RSS30" s="1"/>
      <c r="RST30" s="1"/>
      <c r="RSU30" s="1"/>
      <c r="RSV30" s="1"/>
      <c r="RSW30" s="1"/>
      <c r="RSX30" s="1"/>
      <c r="RSY30" s="1"/>
      <c r="RSZ30" s="1"/>
      <c r="RTA30" s="1"/>
      <c r="RTB30" s="1"/>
      <c r="RTC30" s="1"/>
      <c r="RTD30" s="1"/>
      <c r="RTE30" s="1"/>
      <c r="RTF30" s="1"/>
      <c r="RTG30" s="1"/>
      <c r="RTH30" s="1"/>
      <c r="RTI30" s="1"/>
      <c r="RTJ30" s="1"/>
      <c r="RTK30" s="1"/>
      <c r="RTL30" s="1"/>
      <c r="RTM30" s="1"/>
      <c r="RTN30" s="1"/>
      <c r="RTO30" s="1"/>
      <c r="RTP30" s="1"/>
      <c r="RTQ30" s="1"/>
      <c r="RTR30" s="1"/>
      <c r="RTS30" s="1"/>
      <c r="RTT30" s="1"/>
      <c r="RTU30" s="1"/>
      <c r="RTV30" s="1"/>
      <c r="RTW30" s="1"/>
      <c r="RTX30" s="1"/>
      <c r="RTY30" s="1"/>
      <c r="RTZ30" s="1"/>
      <c r="RUA30" s="1"/>
      <c r="RUB30" s="1"/>
      <c r="RUC30" s="1"/>
      <c r="RUD30" s="1"/>
      <c r="RUE30" s="1"/>
      <c r="RUF30" s="1"/>
      <c r="RUG30" s="1"/>
      <c r="RUH30" s="1"/>
      <c r="RUI30" s="1"/>
      <c r="RUJ30" s="1"/>
      <c r="RUK30" s="1"/>
      <c r="RUL30" s="1"/>
      <c r="RUM30" s="1"/>
      <c r="RUN30" s="1"/>
      <c r="RUO30" s="1"/>
      <c r="RUP30" s="1"/>
      <c r="RUQ30" s="1"/>
      <c r="RUR30" s="1"/>
      <c r="RUS30" s="1"/>
      <c r="RUT30" s="1"/>
      <c r="RUU30" s="1"/>
      <c r="RUV30" s="1"/>
      <c r="RUW30" s="1"/>
      <c r="RUX30" s="1"/>
      <c r="RUY30" s="1"/>
      <c r="RUZ30" s="1"/>
      <c r="RVA30" s="1"/>
      <c r="RVB30" s="1"/>
      <c r="RVC30" s="1"/>
      <c r="RVD30" s="1"/>
      <c r="RVE30" s="1"/>
      <c r="RVF30" s="1"/>
      <c r="RVG30" s="1"/>
      <c r="RVH30" s="1"/>
      <c r="RVI30" s="1"/>
      <c r="RVJ30" s="1"/>
      <c r="RVK30" s="1"/>
      <c r="RVL30" s="1"/>
      <c r="RVM30" s="1"/>
      <c r="RVN30" s="1"/>
      <c r="RVO30" s="1"/>
      <c r="RVP30" s="1"/>
      <c r="RVQ30" s="1"/>
      <c r="RVR30" s="1"/>
      <c r="RVS30" s="1"/>
      <c r="RVT30" s="1"/>
      <c r="RVU30" s="1"/>
      <c r="RVV30" s="1"/>
      <c r="RVW30" s="1"/>
      <c r="RVX30" s="1"/>
      <c r="RVY30" s="1"/>
      <c r="RVZ30" s="1"/>
      <c r="RWA30" s="1"/>
      <c r="RWB30" s="1"/>
      <c r="RWC30" s="1"/>
      <c r="RWD30" s="1"/>
      <c r="RWE30" s="1"/>
      <c r="RWF30" s="1"/>
      <c r="RWG30" s="1"/>
      <c r="RWH30" s="1"/>
      <c r="RWI30" s="1"/>
      <c r="RWJ30" s="1"/>
      <c r="RWK30" s="1"/>
      <c r="RWL30" s="1"/>
      <c r="RWM30" s="1"/>
      <c r="RWN30" s="1"/>
      <c r="RWO30" s="1"/>
      <c r="RWP30" s="1"/>
      <c r="RWQ30" s="1"/>
      <c r="RWR30" s="1"/>
      <c r="RWS30" s="1"/>
      <c r="RWT30" s="1"/>
      <c r="RWU30" s="1"/>
      <c r="RWV30" s="1"/>
      <c r="RWW30" s="1"/>
      <c r="RWX30" s="1"/>
      <c r="RWY30" s="1"/>
      <c r="RWZ30" s="1"/>
      <c r="RXA30" s="1"/>
      <c r="RXB30" s="1"/>
      <c r="RXC30" s="1"/>
      <c r="RXD30" s="1"/>
      <c r="RXE30" s="1"/>
      <c r="RXF30" s="1"/>
      <c r="RXG30" s="1"/>
      <c r="RXH30" s="1"/>
      <c r="RXI30" s="1"/>
      <c r="RXJ30" s="1"/>
      <c r="RXK30" s="1"/>
      <c r="RXL30" s="1"/>
      <c r="RXM30" s="1"/>
      <c r="RXN30" s="1"/>
      <c r="RXO30" s="1"/>
      <c r="RXP30" s="1"/>
      <c r="RXQ30" s="1"/>
      <c r="RXR30" s="1"/>
      <c r="RXS30" s="1"/>
      <c r="RXT30" s="1"/>
      <c r="RXU30" s="1"/>
      <c r="RXV30" s="1"/>
      <c r="RXW30" s="1"/>
      <c r="RXX30" s="1"/>
      <c r="RXY30" s="1"/>
      <c r="RXZ30" s="1"/>
      <c r="RYA30" s="1"/>
      <c r="RYB30" s="1"/>
      <c r="RYC30" s="1"/>
      <c r="RYD30" s="1"/>
      <c r="RYE30" s="1"/>
      <c r="RYF30" s="1"/>
      <c r="RYG30" s="1"/>
      <c r="RYH30" s="1"/>
      <c r="RYI30" s="1"/>
      <c r="RYJ30" s="1"/>
      <c r="RYK30" s="1"/>
      <c r="RYL30" s="1"/>
      <c r="RYM30" s="1"/>
      <c r="RYN30" s="1"/>
      <c r="RYO30" s="1"/>
      <c r="RYP30" s="1"/>
      <c r="RYQ30" s="1"/>
      <c r="RYR30" s="1"/>
      <c r="RYS30" s="1"/>
      <c r="RYT30" s="1"/>
      <c r="RYU30" s="1"/>
      <c r="RYV30" s="1"/>
      <c r="RYW30" s="1"/>
      <c r="RYX30" s="1"/>
      <c r="RYY30" s="1"/>
      <c r="RYZ30" s="1"/>
      <c r="RZA30" s="1"/>
      <c r="RZB30" s="1"/>
      <c r="RZC30" s="1"/>
      <c r="RZD30" s="1"/>
      <c r="RZE30" s="1"/>
      <c r="RZF30" s="1"/>
      <c r="RZG30" s="1"/>
      <c r="RZH30" s="1"/>
      <c r="RZI30" s="1"/>
      <c r="RZJ30" s="1"/>
      <c r="RZK30" s="1"/>
      <c r="RZL30" s="1"/>
      <c r="RZM30" s="1"/>
      <c r="RZN30" s="1"/>
      <c r="RZO30" s="1"/>
      <c r="RZP30" s="1"/>
      <c r="RZQ30" s="1"/>
      <c r="RZR30" s="1"/>
      <c r="RZS30" s="1"/>
      <c r="RZT30" s="1"/>
      <c r="RZU30" s="1"/>
      <c r="RZV30" s="1"/>
      <c r="RZW30" s="1"/>
      <c r="RZX30" s="1"/>
      <c r="RZY30" s="1"/>
      <c r="RZZ30" s="1"/>
      <c r="SAA30" s="1"/>
      <c r="SAB30" s="1"/>
      <c r="SAC30" s="1"/>
      <c r="SAD30" s="1"/>
      <c r="SAE30" s="1"/>
      <c r="SAF30" s="1"/>
      <c r="SAG30" s="1"/>
      <c r="SAH30" s="1"/>
      <c r="SAI30" s="1"/>
      <c r="SAJ30" s="1"/>
      <c r="SAK30" s="1"/>
      <c r="SAL30" s="1"/>
      <c r="SAM30" s="1"/>
      <c r="SAN30" s="1"/>
      <c r="SAO30" s="1"/>
      <c r="SAP30" s="1"/>
      <c r="SAQ30" s="1"/>
      <c r="SAR30" s="1"/>
      <c r="SAS30" s="1"/>
      <c r="SAT30" s="1"/>
      <c r="SAU30" s="1"/>
      <c r="SAV30" s="1"/>
      <c r="SAW30" s="1"/>
      <c r="SAX30" s="1"/>
      <c r="SAY30" s="1"/>
      <c r="SAZ30" s="1"/>
      <c r="SBA30" s="1"/>
      <c r="SBB30" s="1"/>
      <c r="SBC30" s="1"/>
      <c r="SBD30" s="1"/>
      <c r="SBE30" s="1"/>
      <c r="SBF30" s="1"/>
      <c r="SBG30" s="1"/>
      <c r="SBH30" s="1"/>
      <c r="SBI30" s="1"/>
      <c r="SBJ30" s="1"/>
      <c r="SBK30" s="1"/>
      <c r="SBL30" s="1"/>
      <c r="SBM30" s="1"/>
      <c r="SBN30" s="1"/>
      <c r="SBO30" s="1"/>
      <c r="SBP30" s="1"/>
      <c r="SBQ30" s="1"/>
      <c r="SBR30" s="1"/>
      <c r="SBS30" s="1"/>
      <c r="SBT30" s="1"/>
      <c r="SBU30" s="1"/>
      <c r="SBV30" s="1"/>
      <c r="SBW30" s="1"/>
      <c r="SBX30" s="1"/>
      <c r="SBY30" s="1"/>
      <c r="SBZ30" s="1"/>
      <c r="SCA30" s="1"/>
      <c r="SCB30" s="1"/>
      <c r="SCC30" s="1"/>
      <c r="SCD30" s="1"/>
      <c r="SCE30" s="1"/>
      <c r="SCF30" s="1"/>
      <c r="SCG30" s="1"/>
      <c r="SCH30" s="1"/>
      <c r="SCI30" s="1"/>
      <c r="SCJ30" s="1"/>
      <c r="SCK30" s="1"/>
      <c r="SCL30" s="1"/>
      <c r="SCM30" s="1"/>
      <c r="SCN30" s="1"/>
      <c r="SCO30" s="1"/>
      <c r="SCP30" s="1"/>
      <c r="SCQ30" s="1"/>
      <c r="SCR30" s="1"/>
      <c r="SCS30" s="1"/>
      <c r="SCT30" s="1"/>
      <c r="SCU30" s="1"/>
      <c r="SCV30" s="1"/>
      <c r="SCW30" s="1"/>
      <c r="SCX30" s="1"/>
      <c r="SCY30" s="1"/>
      <c r="SCZ30" s="1"/>
      <c r="SDA30" s="1"/>
      <c r="SDB30" s="1"/>
      <c r="SDC30" s="1"/>
      <c r="SDD30" s="1"/>
      <c r="SDE30" s="1"/>
      <c r="SDF30" s="1"/>
      <c r="SDG30" s="1"/>
      <c r="SDH30" s="1"/>
      <c r="SDI30" s="1"/>
      <c r="SDJ30" s="1"/>
      <c r="SDK30" s="1"/>
      <c r="SDL30" s="1"/>
      <c r="SDM30" s="1"/>
      <c r="SDN30" s="1"/>
      <c r="SDO30" s="1"/>
      <c r="SDP30" s="1"/>
      <c r="SDQ30" s="1"/>
      <c r="SDR30" s="1"/>
      <c r="SDS30" s="1"/>
      <c r="SDT30" s="1"/>
      <c r="SDU30" s="1"/>
      <c r="SDV30" s="1"/>
      <c r="SDW30" s="1"/>
      <c r="SDX30" s="1"/>
      <c r="SDY30" s="1"/>
      <c r="SDZ30" s="1"/>
      <c r="SEA30" s="1"/>
      <c r="SEB30" s="1"/>
      <c r="SEC30" s="1"/>
      <c r="SED30" s="1"/>
      <c r="SEE30" s="1"/>
      <c r="SEF30" s="1"/>
      <c r="SEG30" s="1"/>
      <c r="SEH30" s="1"/>
      <c r="SEI30" s="1"/>
      <c r="SEJ30" s="1"/>
      <c r="SEK30" s="1"/>
      <c r="SEL30" s="1"/>
      <c r="SEM30" s="1"/>
      <c r="SEN30" s="1"/>
      <c r="SEO30" s="1"/>
      <c r="SEP30" s="1"/>
      <c r="SEQ30" s="1"/>
      <c r="SER30" s="1"/>
      <c r="SES30" s="1"/>
      <c r="SET30" s="1"/>
      <c r="SEU30" s="1"/>
      <c r="SEV30" s="1"/>
      <c r="SEW30" s="1"/>
      <c r="SEX30" s="1"/>
      <c r="SEY30" s="1"/>
      <c r="SEZ30" s="1"/>
      <c r="SFA30" s="1"/>
      <c r="SFB30" s="1"/>
      <c r="SFC30" s="1"/>
      <c r="SFD30" s="1"/>
      <c r="SFE30" s="1"/>
      <c r="SFF30" s="1"/>
      <c r="SFG30" s="1"/>
      <c r="SFH30" s="1"/>
      <c r="SFI30" s="1"/>
      <c r="SFJ30" s="1"/>
      <c r="SFK30" s="1"/>
      <c r="SFL30" s="1"/>
      <c r="SFM30" s="1"/>
      <c r="SFN30" s="1"/>
      <c r="SFO30" s="1"/>
      <c r="SFP30" s="1"/>
      <c r="SFQ30" s="1"/>
      <c r="SFR30" s="1"/>
      <c r="SFS30" s="1"/>
      <c r="SFT30" s="1"/>
      <c r="SFU30" s="1"/>
      <c r="SFV30" s="1"/>
      <c r="SFW30" s="1"/>
      <c r="SFX30" s="1"/>
      <c r="SFY30" s="1"/>
      <c r="SFZ30" s="1"/>
      <c r="SGA30" s="1"/>
      <c r="SGB30" s="1"/>
      <c r="SGC30" s="1"/>
      <c r="SGD30" s="1"/>
      <c r="SGE30" s="1"/>
      <c r="SGF30" s="1"/>
      <c r="SGG30" s="1"/>
      <c r="SGH30" s="1"/>
      <c r="SGI30" s="1"/>
      <c r="SGJ30" s="1"/>
      <c r="SGK30" s="1"/>
      <c r="SGL30" s="1"/>
      <c r="SGM30" s="1"/>
      <c r="SGN30" s="1"/>
      <c r="SGO30" s="1"/>
      <c r="SGP30" s="1"/>
      <c r="SGQ30" s="1"/>
      <c r="SGR30" s="1"/>
      <c r="SGS30" s="1"/>
      <c r="SGT30" s="1"/>
      <c r="SGU30" s="1"/>
      <c r="SGV30" s="1"/>
      <c r="SGW30" s="1"/>
      <c r="SGX30" s="1"/>
      <c r="SGY30" s="1"/>
      <c r="SGZ30" s="1"/>
      <c r="SHA30" s="1"/>
      <c r="SHB30" s="1"/>
      <c r="SHC30" s="1"/>
      <c r="SHD30" s="1"/>
      <c r="SHE30" s="1"/>
      <c r="SHF30" s="1"/>
      <c r="SHG30" s="1"/>
      <c r="SHH30" s="1"/>
      <c r="SHI30" s="1"/>
      <c r="SHJ30" s="1"/>
      <c r="SHK30" s="1"/>
      <c r="SHL30" s="1"/>
      <c r="SHM30" s="1"/>
      <c r="SHN30" s="1"/>
      <c r="SHO30" s="1"/>
      <c r="SHP30" s="1"/>
      <c r="SHQ30" s="1"/>
      <c r="SHR30" s="1"/>
      <c r="SHS30" s="1"/>
      <c r="SHT30" s="1"/>
      <c r="SHU30" s="1"/>
      <c r="SHV30" s="1"/>
      <c r="SHW30" s="1"/>
      <c r="SHX30" s="1"/>
      <c r="SHY30" s="1"/>
      <c r="SHZ30" s="1"/>
      <c r="SIA30" s="1"/>
      <c r="SIB30" s="1"/>
      <c r="SIC30" s="1"/>
      <c r="SID30" s="1"/>
      <c r="SIE30" s="1"/>
      <c r="SIF30" s="1"/>
      <c r="SIG30" s="1"/>
      <c r="SIH30" s="1"/>
      <c r="SII30" s="1"/>
      <c r="SIJ30" s="1"/>
      <c r="SIK30" s="1"/>
      <c r="SIL30" s="1"/>
      <c r="SIM30" s="1"/>
      <c r="SIN30" s="1"/>
      <c r="SIO30" s="1"/>
      <c r="SIP30" s="1"/>
      <c r="SIQ30" s="1"/>
      <c r="SIR30" s="1"/>
      <c r="SIS30" s="1"/>
      <c r="SIT30" s="1"/>
      <c r="SIU30" s="1"/>
      <c r="SIV30" s="1"/>
      <c r="SIW30" s="1"/>
      <c r="SIX30" s="1"/>
      <c r="SIY30" s="1"/>
      <c r="SIZ30" s="1"/>
      <c r="SJA30" s="1"/>
      <c r="SJB30" s="1"/>
      <c r="SJC30" s="1"/>
      <c r="SJD30" s="1"/>
      <c r="SJE30" s="1"/>
      <c r="SJF30" s="1"/>
      <c r="SJG30" s="1"/>
      <c r="SJH30" s="1"/>
      <c r="SJI30" s="1"/>
      <c r="SJJ30" s="1"/>
      <c r="SJK30" s="1"/>
      <c r="SJL30" s="1"/>
      <c r="SJM30" s="1"/>
      <c r="SJN30" s="1"/>
      <c r="SJO30" s="1"/>
      <c r="SJP30" s="1"/>
      <c r="SJQ30" s="1"/>
      <c r="SJR30" s="1"/>
      <c r="SJS30" s="1"/>
      <c r="SJT30" s="1"/>
      <c r="SJU30" s="1"/>
      <c r="SJV30" s="1"/>
      <c r="SJW30" s="1"/>
      <c r="SJX30" s="1"/>
      <c r="SJY30" s="1"/>
      <c r="SJZ30" s="1"/>
      <c r="SKA30" s="1"/>
      <c r="SKB30" s="1"/>
      <c r="SKC30" s="1"/>
      <c r="SKD30" s="1"/>
      <c r="SKE30" s="1"/>
      <c r="SKF30" s="1"/>
      <c r="SKG30" s="1"/>
      <c r="SKH30" s="1"/>
      <c r="SKI30" s="1"/>
      <c r="SKJ30" s="1"/>
      <c r="SKK30" s="1"/>
      <c r="SKL30" s="1"/>
      <c r="SKM30" s="1"/>
      <c r="SKN30" s="1"/>
      <c r="SKO30" s="1"/>
      <c r="SKP30" s="1"/>
      <c r="SKQ30" s="1"/>
      <c r="SKR30" s="1"/>
      <c r="SKS30" s="1"/>
      <c r="SKT30" s="1"/>
      <c r="SKU30" s="1"/>
      <c r="SKV30" s="1"/>
      <c r="SKW30" s="1"/>
      <c r="SKX30" s="1"/>
      <c r="SKY30" s="1"/>
      <c r="SKZ30" s="1"/>
      <c r="SLA30" s="1"/>
      <c r="SLB30" s="1"/>
      <c r="SLC30" s="1"/>
      <c r="SLD30" s="1"/>
      <c r="SLE30" s="1"/>
      <c r="SLF30" s="1"/>
      <c r="SLG30" s="1"/>
      <c r="SLH30" s="1"/>
      <c r="SLI30" s="1"/>
      <c r="SLJ30" s="1"/>
      <c r="SLK30" s="1"/>
      <c r="SLL30" s="1"/>
      <c r="SLM30" s="1"/>
      <c r="SLN30" s="1"/>
      <c r="SLO30" s="1"/>
      <c r="SLP30" s="1"/>
      <c r="SLQ30" s="1"/>
      <c r="SLR30" s="1"/>
      <c r="SLS30" s="1"/>
      <c r="SLT30" s="1"/>
      <c r="SLU30" s="1"/>
      <c r="SLV30" s="1"/>
      <c r="SLW30" s="1"/>
      <c r="SLX30" s="1"/>
      <c r="SLY30" s="1"/>
      <c r="SLZ30" s="1"/>
      <c r="SMA30" s="1"/>
      <c r="SMB30" s="1"/>
      <c r="SMC30" s="1"/>
      <c r="SMD30" s="1"/>
      <c r="SME30" s="1"/>
      <c r="SMF30" s="1"/>
      <c r="SMG30" s="1"/>
      <c r="SMH30" s="1"/>
      <c r="SMI30" s="1"/>
      <c r="SMJ30" s="1"/>
      <c r="SMK30" s="1"/>
      <c r="SML30" s="1"/>
      <c r="SMM30" s="1"/>
      <c r="SMN30" s="1"/>
      <c r="SMO30" s="1"/>
      <c r="SMP30" s="1"/>
      <c r="SMQ30" s="1"/>
      <c r="SMR30" s="1"/>
      <c r="SMS30" s="1"/>
      <c r="SMT30" s="1"/>
      <c r="SMU30" s="1"/>
      <c r="SMV30" s="1"/>
      <c r="SMW30" s="1"/>
      <c r="SMX30" s="1"/>
      <c r="SMY30" s="1"/>
      <c r="SMZ30" s="1"/>
      <c r="SNA30" s="1"/>
      <c r="SNB30" s="1"/>
      <c r="SNC30" s="1"/>
      <c r="SND30" s="1"/>
      <c r="SNE30" s="1"/>
      <c r="SNF30" s="1"/>
      <c r="SNG30" s="1"/>
      <c r="SNH30" s="1"/>
      <c r="SNI30" s="1"/>
      <c r="SNJ30" s="1"/>
      <c r="SNK30" s="1"/>
      <c r="SNL30" s="1"/>
      <c r="SNM30" s="1"/>
      <c r="SNN30" s="1"/>
      <c r="SNO30" s="1"/>
      <c r="SNP30" s="1"/>
      <c r="SNQ30" s="1"/>
      <c r="SNR30" s="1"/>
      <c r="SNS30" s="1"/>
      <c r="SNT30" s="1"/>
      <c r="SNU30" s="1"/>
      <c r="SNV30" s="1"/>
      <c r="SNW30" s="1"/>
      <c r="SNX30" s="1"/>
      <c r="SNY30" s="1"/>
      <c r="SNZ30" s="1"/>
      <c r="SOA30" s="1"/>
      <c r="SOB30" s="1"/>
      <c r="SOC30" s="1"/>
      <c r="SOD30" s="1"/>
      <c r="SOE30" s="1"/>
      <c r="SOF30" s="1"/>
      <c r="SOG30" s="1"/>
      <c r="SOH30" s="1"/>
      <c r="SOI30" s="1"/>
      <c r="SOJ30" s="1"/>
      <c r="SOK30" s="1"/>
      <c r="SOL30" s="1"/>
      <c r="SOM30" s="1"/>
      <c r="SON30" s="1"/>
      <c r="SOO30" s="1"/>
      <c r="SOP30" s="1"/>
      <c r="SOQ30" s="1"/>
      <c r="SOR30" s="1"/>
      <c r="SOS30" s="1"/>
      <c r="SOT30" s="1"/>
      <c r="SOU30" s="1"/>
      <c r="SOV30" s="1"/>
      <c r="SOW30" s="1"/>
      <c r="SOX30" s="1"/>
      <c r="SOY30" s="1"/>
      <c r="SOZ30" s="1"/>
      <c r="SPA30" s="1"/>
      <c r="SPB30" s="1"/>
      <c r="SPC30" s="1"/>
      <c r="SPD30" s="1"/>
      <c r="SPE30" s="1"/>
      <c r="SPF30" s="1"/>
      <c r="SPG30" s="1"/>
      <c r="SPH30" s="1"/>
      <c r="SPI30" s="1"/>
      <c r="SPJ30" s="1"/>
      <c r="SPK30" s="1"/>
      <c r="SPL30" s="1"/>
      <c r="SPM30" s="1"/>
      <c r="SPN30" s="1"/>
      <c r="SPO30" s="1"/>
      <c r="SPP30" s="1"/>
      <c r="SPQ30" s="1"/>
      <c r="SPR30" s="1"/>
      <c r="SPS30" s="1"/>
      <c r="SPT30" s="1"/>
      <c r="SPU30" s="1"/>
      <c r="SPV30" s="1"/>
      <c r="SPW30" s="1"/>
      <c r="SPX30" s="1"/>
      <c r="SPY30" s="1"/>
      <c r="SPZ30" s="1"/>
      <c r="SQA30" s="1"/>
      <c r="SQB30" s="1"/>
      <c r="SQC30" s="1"/>
      <c r="SQD30" s="1"/>
      <c r="SQE30" s="1"/>
      <c r="SQF30" s="1"/>
      <c r="SQG30" s="1"/>
      <c r="SQH30" s="1"/>
      <c r="SQI30" s="1"/>
      <c r="SQJ30" s="1"/>
      <c r="SQK30" s="1"/>
      <c r="SQL30" s="1"/>
      <c r="SQM30" s="1"/>
      <c r="SQN30" s="1"/>
      <c r="SQO30" s="1"/>
      <c r="SQP30" s="1"/>
      <c r="SQQ30" s="1"/>
      <c r="SQR30" s="1"/>
      <c r="SQS30" s="1"/>
      <c r="SQT30" s="1"/>
      <c r="SQU30" s="1"/>
      <c r="SQV30" s="1"/>
      <c r="SQW30" s="1"/>
      <c r="SQX30" s="1"/>
      <c r="SQY30" s="1"/>
      <c r="SQZ30" s="1"/>
      <c r="SRA30" s="1"/>
      <c r="SRB30" s="1"/>
      <c r="SRC30" s="1"/>
      <c r="SRD30" s="1"/>
      <c r="SRE30" s="1"/>
      <c r="SRF30" s="1"/>
      <c r="SRG30" s="1"/>
      <c r="SRH30" s="1"/>
      <c r="SRI30" s="1"/>
      <c r="SRJ30" s="1"/>
      <c r="SRK30" s="1"/>
      <c r="SRL30" s="1"/>
      <c r="SRM30" s="1"/>
      <c r="SRN30" s="1"/>
      <c r="SRO30" s="1"/>
      <c r="SRP30" s="1"/>
      <c r="SRQ30" s="1"/>
      <c r="SRR30" s="1"/>
      <c r="SRS30" s="1"/>
      <c r="SRT30" s="1"/>
      <c r="SRU30" s="1"/>
      <c r="SRV30" s="1"/>
      <c r="SRW30" s="1"/>
      <c r="SRX30" s="1"/>
      <c r="SRY30" s="1"/>
      <c r="SRZ30" s="1"/>
      <c r="SSA30" s="1"/>
      <c r="SSB30" s="1"/>
      <c r="SSC30" s="1"/>
      <c r="SSD30" s="1"/>
      <c r="SSE30" s="1"/>
      <c r="SSF30" s="1"/>
      <c r="SSG30" s="1"/>
      <c r="SSH30" s="1"/>
      <c r="SSI30" s="1"/>
      <c r="SSJ30" s="1"/>
      <c r="SSK30" s="1"/>
      <c r="SSL30" s="1"/>
      <c r="SSM30" s="1"/>
      <c r="SSN30" s="1"/>
      <c r="SSO30" s="1"/>
      <c r="SSP30" s="1"/>
      <c r="SSQ30" s="1"/>
      <c r="SSR30" s="1"/>
      <c r="SSS30" s="1"/>
      <c r="SST30" s="1"/>
      <c r="SSU30" s="1"/>
      <c r="SSV30" s="1"/>
      <c r="SSW30" s="1"/>
      <c r="SSX30" s="1"/>
      <c r="SSY30" s="1"/>
      <c r="SSZ30" s="1"/>
      <c r="STA30" s="1"/>
      <c r="STB30" s="1"/>
      <c r="STC30" s="1"/>
      <c r="STD30" s="1"/>
      <c r="STE30" s="1"/>
      <c r="STF30" s="1"/>
      <c r="STG30" s="1"/>
      <c r="STH30" s="1"/>
      <c r="STI30" s="1"/>
      <c r="STJ30" s="1"/>
      <c r="STK30" s="1"/>
      <c r="STL30" s="1"/>
      <c r="STM30" s="1"/>
      <c r="STN30" s="1"/>
      <c r="STO30" s="1"/>
      <c r="STP30" s="1"/>
      <c r="STQ30" s="1"/>
      <c r="STR30" s="1"/>
      <c r="STS30" s="1"/>
      <c r="STT30" s="1"/>
      <c r="STU30" s="1"/>
      <c r="STV30" s="1"/>
      <c r="STW30" s="1"/>
      <c r="STX30" s="1"/>
      <c r="STY30" s="1"/>
      <c r="STZ30" s="1"/>
      <c r="SUA30" s="1"/>
      <c r="SUB30" s="1"/>
      <c r="SUC30" s="1"/>
      <c r="SUD30" s="1"/>
      <c r="SUE30" s="1"/>
      <c r="SUF30" s="1"/>
      <c r="SUG30" s="1"/>
      <c r="SUH30" s="1"/>
      <c r="SUI30" s="1"/>
      <c r="SUJ30" s="1"/>
      <c r="SUK30" s="1"/>
      <c r="SUL30" s="1"/>
      <c r="SUM30" s="1"/>
      <c r="SUN30" s="1"/>
      <c r="SUO30" s="1"/>
      <c r="SUP30" s="1"/>
      <c r="SUQ30" s="1"/>
      <c r="SUR30" s="1"/>
      <c r="SUS30" s="1"/>
      <c r="SUT30" s="1"/>
      <c r="SUU30" s="1"/>
      <c r="SUV30" s="1"/>
      <c r="SUW30" s="1"/>
      <c r="SUX30" s="1"/>
      <c r="SUY30" s="1"/>
      <c r="SUZ30" s="1"/>
      <c r="SVA30" s="1"/>
      <c r="SVB30" s="1"/>
      <c r="SVC30" s="1"/>
      <c r="SVD30" s="1"/>
      <c r="SVE30" s="1"/>
      <c r="SVF30" s="1"/>
      <c r="SVG30" s="1"/>
      <c r="SVH30" s="1"/>
      <c r="SVI30" s="1"/>
      <c r="SVJ30" s="1"/>
      <c r="SVK30" s="1"/>
      <c r="SVL30" s="1"/>
      <c r="SVM30" s="1"/>
      <c r="SVN30" s="1"/>
      <c r="SVO30" s="1"/>
      <c r="SVP30" s="1"/>
      <c r="SVQ30" s="1"/>
      <c r="SVR30" s="1"/>
      <c r="SVS30" s="1"/>
      <c r="SVT30" s="1"/>
      <c r="SVU30" s="1"/>
      <c r="SVV30" s="1"/>
      <c r="SVW30" s="1"/>
      <c r="SVX30" s="1"/>
      <c r="SVY30" s="1"/>
      <c r="SVZ30" s="1"/>
      <c r="SWA30" s="1"/>
      <c r="SWB30" s="1"/>
      <c r="SWC30" s="1"/>
      <c r="SWD30" s="1"/>
      <c r="SWE30" s="1"/>
      <c r="SWF30" s="1"/>
      <c r="SWG30" s="1"/>
      <c r="SWH30" s="1"/>
      <c r="SWI30" s="1"/>
      <c r="SWJ30" s="1"/>
      <c r="SWK30" s="1"/>
      <c r="SWL30" s="1"/>
      <c r="SWM30" s="1"/>
      <c r="SWN30" s="1"/>
      <c r="SWO30" s="1"/>
      <c r="SWP30" s="1"/>
      <c r="SWQ30" s="1"/>
      <c r="SWR30" s="1"/>
      <c r="SWS30" s="1"/>
      <c r="SWT30" s="1"/>
      <c r="SWU30" s="1"/>
      <c r="SWV30" s="1"/>
      <c r="SWW30" s="1"/>
      <c r="SWX30" s="1"/>
      <c r="SWY30" s="1"/>
      <c r="SWZ30" s="1"/>
      <c r="SXA30" s="1"/>
      <c r="SXB30" s="1"/>
      <c r="SXC30" s="1"/>
      <c r="SXD30" s="1"/>
      <c r="SXE30" s="1"/>
      <c r="SXF30" s="1"/>
      <c r="SXG30" s="1"/>
      <c r="SXH30" s="1"/>
      <c r="SXI30" s="1"/>
      <c r="SXJ30" s="1"/>
      <c r="SXK30" s="1"/>
      <c r="SXL30" s="1"/>
      <c r="SXM30" s="1"/>
      <c r="SXN30" s="1"/>
      <c r="SXO30" s="1"/>
      <c r="SXP30" s="1"/>
      <c r="SXQ30" s="1"/>
      <c r="SXR30" s="1"/>
      <c r="SXS30" s="1"/>
      <c r="SXT30" s="1"/>
      <c r="SXU30" s="1"/>
      <c r="SXV30" s="1"/>
      <c r="SXW30" s="1"/>
      <c r="SXX30" s="1"/>
      <c r="SXY30" s="1"/>
      <c r="SXZ30" s="1"/>
      <c r="SYA30" s="1"/>
      <c r="SYB30" s="1"/>
      <c r="SYC30" s="1"/>
      <c r="SYD30" s="1"/>
      <c r="SYE30" s="1"/>
      <c r="SYF30" s="1"/>
      <c r="SYG30" s="1"/>
      <c r="SYH30" s="1"/>
      <c r="SYI30" s="1"/>
      <c r="SYJ30" s="1"/>
      <c r="SYK30" s="1"/>
      <c r="SYL30" s="1"/>
      <c r="SYM30" s="1"/>
      <c r="SYN30" s="1"/>
      <c r="SYO30" s="1"/>
      <c r="SYP30" s="1"/>
      <c r="SYQ30" s="1"/>
      <c r="SYR30" s="1"/>
      <c r="SYS30" s="1"/>
      <c r="SYT30" s="1"/>
      <c r="SYU30" s="1"/>
      <c r="SYV30" s="1"/>
      <c r="SYW30" s="1"/>
      <c r="SYX30" s="1"/>
      <c r="SYY30" s="1"/>
      <c r="SYZ30" s="1"/>
      <c r="SZA30" s="1"/>
      <c r="SZB30" s="1"/>
      <c r="SZC30" s="1"/>
      <c r="SZD30" s="1"/>
      <c r="SZE30" s="1"/>
      <c r="SZF30" s="1"/>
      <c r="SZG30" s="1"/>
      <c r="SZH30" s="1"/>
      <c r="SZI30" s="1"/>
      <c r="SZJ30" s="1"/>
      <c r="SZK30" s="1"/>
      <c r="SZL30" s="1"/>
      <c r="SZM30" s="1"/>
      <c r="SZN30" s="1"/>
      <c r="SZO30" s="1"/>
      <c r="SZP30" s="1"/>
      <c r="SZQ30" s="1"/>
      <c r="SZR30" s="1"/>
      <c r="SZS30" s="1"/>
      <c r="SZT30" s="1"/>
      <c r="SZU30" s="1"/>
      <c r="SZV30" s="1"/>
      <c r="SZW30" s="1"/>
      <c r="SZX30" s="1"/>
      <c r="SZY30" s="1"/>
      <c r="SZZ30" s="1"/>
      <c r="TAA30" s="1"/>
      <c r="TAB30" s="1"/>
      <c r="TAC30" s="1"/>
      <c r="TAD30" s="1"/>
      <c r="TAE30" s="1"/>
      <c r="TAF30" s="1"/>
      <c r="TAG30" s="1"/>
      <c r="TAH30" s="1"/>
      <c r="TAI30" s="1"/>
      <c r="TAJ30" s="1"/>
      <c r="TAK30" s="1"/>
      <c r="TAL30" s="1"/>
      <c r="TAM30" s="1"/>
      <c r="TAN30" s="1"/>
      <c r="TAO30" s="1"/>
      <c r="TAP30" s="1"/>
      <c r="TAQ30" s="1"/>
      <c r="TAR30" s="1"/>
      <c r="TAS30" s="1"/>
      <c r="TAT30" s="1"/>
      <c r="TAU30" s="1"/>
      <c r="TAV30" s="1"/>
      <c r="TAW30" s="1"/>
      <c r="TAX30" s="1"/>
      <c r="TAY30" s="1"/>
      <c r="TAZ30" s="1"/>
      <c r="TBA30" s="1"/>
      <c r="TBB30" s="1"/>
      <c r="TBC30" s="1"/>
      <c r="TBD30" s="1"/>
      <c r="TBE30" s="1"/>
      <c r="TBF30" s="1"/>
      <c r="TBG30" s="1"/>
      <c r="TBH30" s="1"/>
      <c r="TBI30" s="1"/>
      <c r="TBJ30" s="1"/>
      <c r="TBK30" s="1"/>
      <c r="TBL30" s="1"/>
      <c r="TBM30" s="1"/>
      <c r="TBN30" s="1"/>
      <c r="TBO30" s="1"/>
      <c r="TBP30" s="1"/>
      <c r="TBQ30" s="1"/>
      <c r="TBR30" s="1"/>
      <c r="TBS30" s="1"/>
      <c r="TBT30" s="1"/>
      <c r="TBU30" s="1"/>
      <c r="TBV30" s="1"/>
      <c r="TBW30" s="1"/>
      <c r="TBX30" s="1"/>
      <c r="TBY30" s="1"/>
      <c r="TBZ30" s="1"/>
      <c r="TCA30" s="1"/>
      <c r="TCB30" s="1"/>
      <c r="TCC30" s="1"/>
      <c r="TCD30" s="1"/>
      <c r="TCE30" s="1"/>
      <c r="TCF30" s="1"/>
      <c r="TCG30" s="1"/>
      <c r="TCH30" s="1"/>
      <c r="TCI30" s="1"/>
      <c r="TCJ30" s="1"/>
      <c r="TCK30" s="1"/>
      <c r="TCL30" s="1"/>
      <c r="TCM30" s="1"/>
      <c r="TCN30" s="1"/>
      <c r="TCO30" s="1"/>
      <c r="TCP30" s="1"/>
      <c r="TCQ30" s="1"/>
      <c r="TCR30" s="1"/>
      <c r="TCS30" s="1"/>
      <c r="TCT30" s="1"/>
      <c r="TCU30" s="1"/>
      <c r="TCV30" s="1"/>
      <c r="TCW30" s="1"/>
      <c r="TCX30" s="1"/>
      <c r="TCY30" s="1"/>
      <c r="TCZ30" s="1"/>
      <c r="TDA30" s="1"/>
      <c r="TDB30" s="1"/>
      <c r="TDC30" s="1"/>
      <c r="TDD30" s="1"/>
      <c r="TDE30" s="1"/>
      <c r="TDF30" s="1"/>
      <c r="TDG30" s="1"/>
      <c r="TDH30" s="1"/>
      <c r="TDI30" s="1"/>
      <c r="TDJ30" s="1"/>
      <c r="TDK30" s="1"/>
      <c r="TDL30" s="1"/>
      <c r="TDM30" s="1"/>
      <c r="TDN30" s="1"/>
      <c r="TDO30" s="1"/>
      <c r="TDP30" s="1"/>
      <c r="TDQ30" s="1"/>
      <c r="TDR30" s="1"/>
      <c r="TDS30" s="1"/>
      <c r="TDT30" s="1"/>
      <c r="TDU30" s="1"/>
      <c r="TDV30" s="1"/>
      <c r="TDW30" s="1"/>
      <c r="TDX30" s="1"/>
      <c r="TDY30" s="1"/>
      <c r="TDZ30" s="1"/>
      <c r="TEA30" s="1"/>
      <c r="TEB30" s="1"/>
      <c r="TEC30" s="1"/>
      <c r="TED30" s="1"/>
      <c r="TEE30" s="1"/>
      <c r="TEF30" s="1"/>
      <c r="TEG30" s="1"/>
      <c r="TEH30" s="1"/>
      <c r="TEI30" s="1"/>
      <c r="TEJ30" s="1"/>
      <c r="TEK30" s="1"/>
      <c r="TEL30" s="1"/>
      <c r="TEM30" s="1"/>
      <c r="TEN30" s="1"/>
      <c r="TEO30" s="1"/>
      <c r="TEP30" s="1"/>
      <c r="TEQ30" s="1"/>
      <c r="TER30" s="1"/>
      <c r="TES30" s="1"/>
      <c r="TET30" s="1"/>
      <c r="TEU30" s="1"/>
      <c r="TEV30" s="1"/>
      <c r="TEW30" s="1"/>
      <c r="TEX30" s="1"/>
      <c r="TEY30" s="1"/>
      <c r="TEZ30" s="1"/>
      <c r="TFA30" s="1"/>
      <c r="TFB30" s="1"/>
      <c r="TFC30" s="1"/>
      <c r="TFD30" s="1"/>
      <c r="TFE30" s="1"/>
      <c r="TFF30" s="1"/>
      <c r="TFG30" s="1"/>
      <c r="TFH30" s="1"/>
      <c r="TFI30" s="1"/>
      <c r="TFJ30" s="1"/>
      <c r="TFK30" s="1"/>
      <c r="TFL30" s="1"/>
      <c r="TFM30" s="1"/>
      <c r="TFN30" s="1"/>
      <c r="TFO30" s="1"/>
      <c r="TFP30" s="1"/>
      <c r="TFQ30" s="1"/>
      <c r="TFR30" s="1"/>
      <c r="TFS30" s="1"/>
      <c r="TFT30" s="1"/>
      <c r="TFU30" s="1"/>
      <c r="TFV30" s="1"/>
      <c r="TFW30" s="1"/>
      <c r="TFX30" s="1"/>
      <c r="TFY30" s="1"/>
      <c r="TFZ30" s="1"/>
      <c r="TGA30" s="1"/>
      <c r="TGB30" s="1"/>
      <c r="TGC30" s="1"/>
      <c r="TGD30" s="1"/>
      <c r="TGE30" s="1"/>
      <c r="TGF30" s="1"/>
      <c r="TGG30" s="1"/>
      <c r="TGH30" s="1"/>
      <c r="TGI30" s="1"/>
      <c r="TGJ30" s="1"/>
      <c r="TGK30" s="1"/>
      <c r="TGL30" s="1"/>
      <c r="TGM30" s="1"/>
      <c r="TGN30" s="1"/>
      <c r="TGO30" s="1"/>
      <c r="TGP30" s="1"/>
      <c r="TGQ30" s="1"/>
      <c r="TGR30" s="1"/>
      <c r="TGS30" s="1"/>
      <c r="TGT30" s="1"/>
      <c r="TGU30" s="1"/>
      <c r="TGV30" s="1"/>
      <c r="TGW30" s="1"/>
      <c r="TGX30" s="1"/>
      <c r="TGY30" s="1"/>
      <c r="TGZ30" s="1"/>
      <c r="THA30" s="1"/>
      <c r="THB30" s="1"/>
      <c r="THC30" s="1"/>
      <c r="THD30" s="1"/>
      <c r="THE30" s="1"/>
      <c r="THF30" s="1"/>
      <c r="THG30" s="1"/>
      <c r="THH30" s="1"/>
      <c r="THI30" s="1"/>
      <c r="THJ30" s="1"/>
      <c r="THK30" s="1"/>
      <c r="THL30" s="1"/>
      <c r="THM30" s="1"/>
      <c r="THN30" s="1"/>
      <c r="THO30" s="1"/>
      <c r="THP30" s="1"/>
      <c r="THQ30" s="1"/>
      <c r="THR30" s="1"/>
      <c r="THS30" s="1"/>
      <c r="THT30" s="1"/>
      <c r="THU30" s="1"/>
      <c r="THV30" s="1"/>
      <c r="THW30" s="1"/>
      <c r="THX30" s="1"/>
      <c r="THY30" s="1"/>
      <c r="THZ30" s="1"/>
      <c r="TIA30" s="1"/>
      <c r="TIB30" s="1"/>
      <c r="TIC30" s="1"/>
      <c r="TID30" s="1"/>
      <c r="TIE30" s="1"/>
      <c r="TIF30" s="1"/>
      <c r="TIG30" s="1"/>
      <c r="TIH30" s="1"/>
      <c r="TII30" s="1"/>
      <c r="TIJ30" s="1"/>
      <c r="TIK30" s="1"/>
      <c r="TIL30" s="1"/>
      <c r="TIM30" s="1"/>
      <c r="TIN30" s="1"/>
      <c r="TIO30" s="1"/>
      <c r="TIP30" s="1"/>
      <c r="TIQ30" s="1"/>
      <c r="TIR30" s="1"/>
      <c r="TIS30" s="1"/>
      <c r="TIT30" s="1"/>
      <c r="TIU30" s="1"/>
      <c r="TIV30" s="1"/>
      <c r="TIW30" s="1"/>
      <c r="TIX30" s="1"/>
      <c r="TIY30" s="1"/>
      <c r="TIZ30" s="1"/>
      <c r="TJA30" s="1"/>
      <c r="TJB30" s="1"/>
      <c r="TJC30" s="1"/>
      <c r="TJD30" s="1"/>
      <c r="TJE30" s="1"/>
      <c r="TJF30" s="1"/>
      <c r="TJG30" s="1"/>
      <c r="TJH30" s="1"/>
      <c r="TJI30" s="1"/>
      <c r="TJJ30" s="1"/>
      <c r="TJK30" s="1"/>
      <c r="TJL30" s="1"/>
      <c r="TJM30" s="1"/>
      <c r="TJN30" s="1"/>
      <c r="TJO30" s="1"/>
      <c r="TJP30" s="1"/>
      <c r="TJQ30" s="1"/>
      <c r="TJR30" s="1"/>
      <c r="TJS30" s="1"/>
      <c r="TJT30" s="1"/>
      <c r="TJU30" s="1"/>
      <c r="TJV30" s="1"/>
      <c r="TJW30" s="1"/>
      <c r="TJX30" s="1"/>
      <c r="TJY30" s="1"/>
      <c r="TJZ30" s="1"/>
      <c r="TKA30" s="1"/>
      <c r="TKB30" s="1"/>
      <c r="TKC30" s="1"/>
      <c r="TKD30" s="1"/>
      <c r="TKE30" s="1"/>
      <c r="TKF30" s="1"/>
      <c r="TKG30" s="1"/>
      <c r="TKH30" s="1"/>
      <c r="TKI30" s="1"/>
      <c r="TKJ30" s="1"/>
      <c r="TKK30" s="1"/>
      <c r="TKL30" s="1"/>
      <c r="TKM30" s="1"/>
      <c r="TKN30" s="1"/>
      <c r="TKO30" s="1"/>
      <c r="TKP30" s="1"/>
      <c r="TKQ30" s="1"/>
      <c r="TKR30" s="1"/>
      <c r="TKS30" s="1"/>
      <c r="TKT30" s="1"/>
      <c r="TKU30" s="1"/>
      <c r="TKV30" s="1"/>
      <c r="TKW30" s="1"/>
      <c r="TKX30" s="1"/>
      <c r="TKY30" s="1"/>
      <c r="TKZ30" s="1"/>
      <c r="TLA30" s="1"/>
      <c r="TLB30" s="1"/>
      <c r="TLC30" s="1"/>
      <c r="TLD30" s="1"/>
      <c r="TLE30" s="1"/>
      <c r="TLF30" s="1"/>
      <c r="TLG30" s="1"/>
      <c r="TLH30" s="1"/>
      <c r="TLI30" s="1"/>
      <c r="TLJ30" s="1"/>
      <c r="TLK30" s="1"/>
      <c r="TLL30" s="1"/>
      <c r="TLM30" s="1"/>
      <c r="TLN30" s="1"/>
      <c r="TLO30" s="1"/>
      <c r="TLP30" s="1"/>
      <c r="TLQ30" s="1"/>
      <c r="TLR30" s="1"/>
      <c r="TLS30" s="1"/>
      <c r="TLT30" s="1"/>
      <c r="TLU30" s="1"/>
      <c r="TLV30" s="1"/>
      <c r="TLW30" s="1"/>
      <c r="TLX30" s="1"/>
      <c r="TLY30" s="1"/>
      <c r="TLZ30" s="1"/>
      <c r="TMA30" s="1"/>
      <c r="TMB30" s="1"/>
      <c r="TMC30" s="1"/>
      <c r="TMD30" s="1"/>
      <c r="TME30" s="1"/>
      <c r="TMF30" s="1"/>
      <c r="TMG30" s="1"/>
      <c r="TMH30" s="1"/>
      <c r="TMI30" s="1"/>
      <c r="TMJ30" s="1"/>
      <c r="TMK30" s="1"/>
      <c r="TML30" s="1"/>
      <c r="TMM30" s="1"/>
      <c r="TMN30" s="1"/>
      <c r="TMO30" s="1"/>
      <c r="TMP30" s="1"/>
      <c r="TMQ30" s="1"/>
      <c r="TMR30" s="1"/>
      <c r="TMS30" s="1"/>
      <c r="TMT30" s="1"/>
      <c r="TMU30" s="1"/>
      <c r="TMV30" s="1"/>
      <c r="TMW30" s="1"/>
      <c r="TMX30" s="1"/>
      <c r="TMY30" s="1"/>
      <c r="TMZ30" s="1"/>
      <c r="TNA30" s="1"/>
      <c r="TNB30" s="1"/>
      <c r="TNC30" s="1"/>
      <c r="TND30" s="1"/>
      <c r="TNE30" s="1"/>
      <c r="TNF30" s="1"/>
      <c r="TNG30" s="1"/>
      <c r="TNH30" s="1"/>
      <c r="TNI30" s="1"/>
      <c r="TNJ30" s="1"/>
      <c r="TNK30" s="1"/>
      <c r="TNL30" s="1"/>
      <c r="TNM30" s="1"/>
      <c r="TNN30" s="1"/>
      <c r="TNO30" s="1"/>
      <c r="TNP30" s="1"/>
      <c r="TNQ30" s="1"/>
      <c r="TNR30" s="1"/>
      <c r="TNS30" s="1"/>
      <c r="TNT30" s="1"/>
      <c r="TNU30" s="1"/>
      <c r="TNV30" s="1"/>
      <c r="TNW30" s="1"/>
      <c r="TNX30" s="1"/>
      <c r="TNY30" s="1"/>
      <c r="TNZ30" s="1"/>
      <c r="TOA30" s="1"/>
      <c r="TOB30" s="1"/>
      <c r="TOC30" s="1"/>
      <c r="TOD30" s="1"/>
      <c r="TOE30" s="1"/>
      <c r="TOF30" s="1"/>
      <c r="TOG30" s="1"/>
      <c r="TOH30" s="1"/>
      <c r="TOI30" s="1"/>
      <c r="TOJ30" s="1"/>
      <c r="TOK30" s="1"/>
      <c r="TOL30" s="1"/>
      <c r="TOM30" s="1"/>
      <c r="TON30" s="1"/>
      <c r="TOO30" s="1"/>
      <c r="TOP30" s="1"/>
      <c r="TOQ30" s="1"/>
      <c r="TOR30" s="1"/>
      <c r="TOS30" s="1"/>
      <c r="TOT30" s="1"/>
      <c r="TOU30" s="1"/>
      <c r="TOV30" s="1"/>
      <c r="TOW30" s="1"/>
      <c r="TOX30" s="1"/>
      <c r="TOY30" s="1"/>
      <c r="TOZ30" s="1"/>
      <c r="TPA30" s="1"/>
      <c r="TPB30" s="1"/>
      <c r="TPC30" s="1"/>
      <c r="TPD30" s="1"/>
      <c r="TPE30" s="1"/>
      <c r="TPF30" s="1"/>
      <c r="TPG30" s="1"/>
      <c r="TPH30" s="1"/>
      <c r="TPI30" s="1"/>
      <c r="TPJ30" s="1"/>
      <c r="TPK30" s="1"/>
      <c r="TPL30" s="1"/>
      <c r="TPM30" s="1"/>
      <c r="TPN30" s="1"/>
      <c r="TPO30" s="1"/>
      <c r="TPP30" s="1"/>
      <c r="TPQ30" s="1"/>
      <c r="TPR30" s="1"/>
      <c r="TPS30" s="1"/>
      <c r="TPT30" s="1"/>
      <c r="TPU30" s="1"/>
      <c r="TPV30" s="1"/>
      <c r="TPW30" s="1"/>
      <c r="TPX30" s="1"/>
      <c r="TPY30" s="1"/>
      <c r="TPZ30" s="1"/>
      <c r="TQA30" s="1"/>
      <c r="TQB30" s="1"/>
      <c r="TQC30" s="1"/>
      <c r="TQD30" s="1"/>
      <c r="TQE30" s="1"/>
      <c r="TQF30" s="1"/>
      <c r="TQG30" s="1"/>
      <c r="TQH30" s="1"/>
      <c r="TQI30" s="1"/>
      <c r="TQJ30" s="1"/>
      <c r="TQK30" s="1"/>
      <c r="TQL30" s="1"/>
      <c r="TQM30" s="1"/>
      <c r="TQN30" s="1"/>
      <c r="TQO30" s="1"/>
      <c r="TQP30" s="1"/>
      <c r="TQQ30" s="1"/>
      <c r="TQR30" s="1"/>
      <c r="TQS30" s="1"/>
      <c r="TQT30" s="1"/>
      <c r="TQU30" s="1"/>
      <c r="TQV30" s="1"/>
      <c r="TQW30" s="1"/>
      <c r="TQX30" s="1"/>
      <c r="TQY30" s="1"/>
      <c r="TQZ30" s="1"/>
      <c r="TRA30" s="1"/>
      <c r="TRB30" s="1"/>
      <c r="TRC30" s="1"/>
      <c r="TRD30" s="1"/>
      <c r="TRE30" s="1"/>
      <c r="TRF30" s="1"/>
      <c r="TRG30" s="1"/>
      <c r="TRH30" s="1"/>
      <c r="TRI30" s="1"/>
      <c r="TRJ30" s="1"/>
      <c r="TRK30" s="1"/>
      <c r="TRL30" s="1"/>
      <c r="TRM30" s="1"/>
      <c r="TRN30" s="1"/>
      <c r="TRO30" s="1"/>
      <c r="TRP30" s="1"/>
      <c r="TRQ30" s="1"/>
      <c r="TRR30" s="1"/>
      <c r="TRS30" s="1"/>
      <c r="TRT30" s="1"/>
      <c r="TRU30" s="1"/>
      <c r="TRV30" s="1"/>
      <c r="TRW30" s="1"/>
      <c r="TRX30" s="1"/>
      <c r="TRY30" s="1"/>
      <c r="TRZ30" s="1"/>
      <c r="TSA30" s="1"/>
      <c r="TSB30" s="1"/>
      <c r="TSC30" s="1"/>
      <c r="TSD30" s="1"/>
      <c r="TSE30" s="1"/>
      <c r="TSF30" s="1"/>
      <c r="TSG30" s="1"/>
      <c r="TSH30" s="1"/>
      <c r="TSI30" s="1"/>
      <c r="TSJ30" s="1"/>
      <c r="TSK30" s="1"/>
      <c r="TSL30" s="1"/>
      <c r="TSM30" s="1"/>
      <c r="TSN30" s="1"/>
      <c r="TSO30" s="1"/>
      <c r="TSP30" s="1"/>
      <c r="TSQ30" s="1"/>
      <c r="TSR30" s="1"/>
      <c r="TSS30" s="1"/>
      <c r="TST30" s="1"/>
      <c r="TSU30" s="1"/>
      <c r="TSV30" s="1"/>
      <c r="TSW30" s="1"/>
      <c r="TSX30" s="1"/>
      <c r="TSY30" s="1"/>
      <c r="TSZ30" s="1"/>
      <c r="TTA30" s="1"/>
      <c r="TTB30" s="1"/>
      <c r="TTC30" s="1"/>
      <c r="TTD30" s="1"/>
      <c r="TTE30" s="1"/>
      <c r="TTF30" s="1"/>
      <c r="TTG30" s="1"/>
      <c r="TTH30" s="1"/>
      <c r="TTI30" s="1"/>
      <c r="TTJ30" s="1"/>
      <c r="TTK30" s="1"/>
      <c r="TTL30" s="1"/>
      <c r="TTM30" s="1"/>
      <c r="TTN30" s="1"/>
      <c r="TTO30" s="1"/>
      <c r="TTP30" s="1"/>
      <c r="TTQ30" s="1"/>
      <c r="TTR30" s="1"/>
      <c r="TTS30" s="1"/>
      <c r="TTT30" s="1"/>
      <c r="TTU30" s="1"/>
      <c r="TTV30" s="1"/>
      <c r="TTW30" s="1"/>
      <c r="TTX30" s="1"/>
      <c r="TTY30" s="1"/>
      <c r="TTZ30" s="1"/>
      <c r="TUA30" s="1"/>
      <c r="TUB30" s="1"/>
      <c r="TUC30" s="1"/>
      <c r="TUD30" s="1"/>
      <c r="TUE30" s="1"/>
      <c r="TUF30" s="1"/>
      <c r="TUG30" s="1"/>
      <c r="TUH30" s="1"/>
      <c r="TUI30" s="1"/>
      <c r="TUJ30" s="1"/>
      <c r="TUK30" s="1"/>
      <c r="TUL30" s="1"/>
      <c r="TUM30" s="1"/>
      <c r="TUN30" s="1"/>
      <c r="TUO30" s="1"/>
      <c r="TUP30" s="1"/>
      <c r="TUQ30" s="1"/>
      <c r="TUR30" s="1"/>
      <c r="TUS30" s="1"/>
      <c r="TUT30" s="1"/>
      <c r="TUU30" s="1"/>
      <c r="TUV30" s="1"/>
      <c r="TUW30" s="1"/>
      <c r="TUX30" s="1"/>
      <c r="TUY30" s="1"/>
      <c r="TUZ30" s="1"/>
      <c r="TVA30" s="1"/>
      <c r="TVB30" s="1"/>
      <c r="TVC30" s="1"/>
      <c r="TVD30" s="1"/>
      <c r="TVE30" s="1"/>
      <c r="TVF30" s="1"/>
      <c r="TVG30" s="1"/>
      <c r="TVH30" s="1"/>
      <c r="TVI30" s="1"/>
      <c r="TVJ30" s="1"/>
      <c r="TVK30" s="1"/>
      <c r="TVL30" s="1"/>
      <c r="TVM30" s="1"/>
      <c r="TVN30" s="1"/>
      <c r="TVO30" s="1"/>
      <c r="TVP30" s="1"/>
      <c r="TVQ30" s="1"/>
      <c r="TVR30" s="1"/>
      <c r="TVS30" s="1"/>
      <c r="TVT30" s="1"/>
      <c r="TVU30" s="1"/>
      <c r="TVV30" s="1"/>
      <c r="TVW30" s="1"/>
      <c r="TVX30" s="1"/>
      <c r="TVY30" s="1"/>
      <c r="TVZ30" s="1"/>
      <c r="TWA30" s="1"/>
      <c r="TWB30" s="1"/>
      <c r="TWC30" s="1"/>
      <c r="TWD30" s="1"/>
      <c r="TWE30" s="1"/>
      <c r="TWF30" s="1"/>
      <c r="TWG30" s="1"/>
      <c r="TWH30" s="1"/>
      <c r="TWI30" s="1"/>
      <c r="TWJ30" s="1"/>
      <c r="TWK30" s="1"/>
      <c r="TWL30" s="1"/>
      <c r="TWM30" s="1"/>
      <c r="TWN30" s="1"/>
      <c r="TWO30" s="1"/>
      <c r="TWP30" s="1"/>
      <c r="TWQ30" s="1"/>
      <c r="TWR30" s="1"/>
      <c r="TWS30" s="1"/>
      <c r="TWT30" s="1"/>
      <c r="TWU30" s="1"/>
      <c r="TWV30" s="1"/>
      <c r="TWW30" s="1"/>
      <c r="TWX30" s="1"/>
      <c r="TWY30" s="1"/>
      <c r="TWZ30" s="1"/>
      <c r="TXA30" s="1"/>
      <c r="TXB30" s="1"/>
      <c r="TXC30" s="1"/>
      <c r="TXD30" s="1"/>
      <c r="TXE30" s="1"/>
      <c r="TXF30" s="1"/>
      <c r="TXG30" s="1"/>
      <c r="TXH30" s="1"/>
      <c r="TXI30" s="1"/>
      <c r="TXJ30" s="1"/>
      <c r="TXK30" s="1"/>
      <c r="TXL30" s="1"/>
      <c r="TXM30" s="1"/>
      <c r="TXN30" s="1"/>
      <c r="TXO30" s="1"/>
      <c r="TXP30" s="1"/>
      <c r="TXQ30" s="1"/>
      <c r="TXR30" s="1"/>
      <c r="TXS30" s="1"/>
      <c r="TXT30" s="1"/>
      <c r="TXU30" s="1"/>
      <c r="TXV30" s="1"/>
      <c r="TXW30" s="1"/>
      <c r="TXX30" s="1"/>
      <c r="TXY30" s="1"/>
      <c r="TXZ30" s="1"/>
      <c r="TYA30" s="1"/>
      <c r="TYB30" s="1"/>
      <c r="TYC30" s="1"/>
      <c r="TYD30" s="1"/>
      <c r="TYE30" s="1"/>
      <c r="TYF30" s="1"/>
      <c r="TYG30" s="1"/>
      <c r="TYH30" s="1"/>
      <c r="TYI30" s="1"/>
      <c r="TYJ30" s="1"/>
      <c r="TYK30" s="1"/>
      <c r="TYL30" s="1"/>
      <c r="TYM30" s="1"/>
      <c r="TYN30" s="1"/>
      <c r="TYO30" s="1"/>
      <c r="TYP30" s="1"/>
      <c r="TYQ30" s="1"/>
      <c r="TYR30" s="1"/>
      <c r="TYS30" s="1"/>
      <c r="TYT30" s="1"/>
      <c r="TYU30" s="1"/>
      <c r="TYV30" s="1"/>
      <c r="TYW30" s="1"/>
      <c r="TYX30" s="1"/>
      <c r="TYY30" s="1"/>
      <c r="TYZ30" s="1"/>
      <c r="TZA30" s="1"/>
      <c r="TZB30" s="1"/>
      <c r="TZC30" s="1"/>
      <c r="TZD30" s="1"/>
      <c r="TZE30" s="1"/>
      <c r="TZF30" s="1"/>
      <c r="TZG30" s="1"/>
      <c r="TZH30" s="1"/>
      <c r="TZI30" s="1"/>
      <c r="TZJ30" s="1"/>
      <c r="TZK30" s="1"/>
      <c r="TZL30" s="1"/>
      <c r="TZM30" s="1"/>
      <c r="TZN30" s="1"/>
      <c r="TZO30" s="1"/>
      <c r="TZP30" s="1"/>
      <c r="TZQ30" s="1"/>
      <c r="TZR30" s="1"/>
      <c r="TZS30" s="1"/>
      <c r="TZT30" s="1"/>
      <c r="TZU30" s="1"/>
      <c r="TZV30" s="1"/>
      <c r="TZW30" s="1"/>
      <c r="TZX30" s="1"/>
      <c r="TZY30" s="1"/>
      <c r="TZZ30" s="1"/>
      <c r="UAA30" s="1"/>
      <c r="UAB30" s="1"/>
      <c r="UAC30" s="1"/>
      <c r="UAD30" s="1"/>
      <c r="UAE30" s="1"/>
      <c r="UAF30" s="1"/>
      <c r="UAG30" s="1"/>
      <c r="UAH30" s="1"/>
      <c r="UAI30" s="1"/>
      <c r="UAJ30" s="1"/>
      <c r="UAK30" s="1"/>
      <c r="UAL30" s="1"/>
      <c r="UAM30" s="1"/>
      <c r="UAN30" s="1"/>
      <c r="UAO30" s="1"/>
      <c r="UAP30" s="1"/>
      <c r="UAQ30" s="1"/>
      <c r="UAR30" s="1"/>
      <c r="UAS30" s="1"/>
      <c r="UAT30" s="1"/>
      <c r="UAU30" s="1"/>
      <c r="UAV30" s="1"/>
      <c r="UAW30" s="1"/>
      <c r="UAX30" s="1"/>
      <c r="UAY30" s="1"/>
      <c r="UAZ30" s="1"/>
      <c r="UBA30" s="1"/>
      <c r="UBB30" s="1"/>
      <c r="UBC30" s="1"/>
      <c r="UBD30" s="1"/>
      <c r="UBE30" s="1"/>
      <c r="UBF30" s="1"/>
      <c r="UBG30" s="1"/>
      <c r="UBH30" s="1"/>
      <c r="UBI30" s="1"/>
      <c r="UBJ30" s="1"/>
      <c r="UBK30" s="1"/>
      <c r="UBL30" s="1"/>
      <c r="UBM30" s="1"/>
      <c r="UBN30" s="1"/>
      <c r="UBO30" s="1"/>
      <c r="UBP30" s="1"/>
      <c r="UBQ30" s="1"/>
      <c r="UBR30" s="1"/>
      <c r="UBS30" s="1"/>
      <c r="UBT30" s="1"/>
      <c r="UBU30" s="1"/>
      <c r="UBV30" s="1"/>
      <c r="UBW30" s="1"/>
      <c r="UBX30" s="1"/>
      <c r="UBY30" s="1"/>
      <c r="UBZ30" s="1"/>
      <c r="UCA30" s="1"/>
      <c r="UCB30" s="1"/>
      <c r="UCC30" s="1"/>
      <c r="UCD30" s="1"/>
      <c r="UCE30" s="1"/>
      <c r="UCF30" s="1"/>
      <c r="UCG30" s="1"/>
      <c r="UCH30" s="1"/>
      <c r="UCI30" s="1"/>
      <c r="UCJ30" s="1"/>
      <c r="UCK30" s="1"/>
      <c r="UCL30" s="1"/>
      <c r="UCM30" s="1"/>
      <c r="UCN30" s="1"/>
      <c r="UCO30" s="1"/>
      <c r="UCP30" s="1"/>
      <c r="UCQ30" s="1"/>
      <c r="UCR30" s="1"/>
      <c r="UCS30" s="1"/>
      <c r="UCT30" s="1"/>
      <c r="UCU30" s="1"/>
      <c r="UCV30" s="1"/>
      <c r="UCW30" s="1"/>
      <c r="UCX30" s="1"/>
      <c r="UCY30" s="1"/>
      <c r="UCZ30" s="1"/>
      <c r="UDA30" s="1"/>
      <c r="UDB30" s="1"/>
      <c r="UDC30" s="1"/>
      <c r="UDD30" s="1"/>
      <c r="UDE30" s="1"/>
      <c r="UDF30" s="1"/>
      <c r="UDG30" s="1"/>
      <c r="UDH30" s="1"/>
      <c r="UDI30" s="1"/>
      <c r="UDJ30" s="1"/>
      <c r="UDK30" s="1"/>
      <c r="UDL30" s="1"/>
      <c r="UDM30" s="1"/>
      <c r="UDN30" s="1"/>
      <c r="UDO30" s="1"/>
      <c r="UDP30" s="1"/>
      <c r="UDQ30" s="1"/>
      <c r="UDR30" s="1"/>
      <c r="UDS30" s="1"/>
      <c r="UDT30" s="1"/>
      <c r="UDU30" s="1"/>
      <c r="UDV30" s="1"/>
      <c r="UDW30" s="1"/>
      <c r="UDX30" s="1"/>
      <c r="UDY30" s="1"/>
      <c r="UDZ30" s="1"/>
      <c r="UEA30" s="1"/>
      <c r="UEB30" s="1"/>
      <c r="UEC30" s="1"/>
      <c r="UED30" s="1"/>
      <c r="UEE30" s="1"/>
      <c r="UEF30" s="1"/>
      <c r="UEG30" s="1"/>
      <c r="UEH30" s="1"/>
      <c r="UEI30" s="1"/>
      <c r="UEJ30" s="1"/>
      <c r="UEK30" s="1"/>
      <c r="UEL30" s="1"/>
      <c r="UEM30" s="1"/>
      <c r="UEN30" s="1"/>
      <c r="UEO30" s="1"/>
      <c r="UEP30" s="1"/>
      <c r="UEQ30" s="1"/>
      <c r="UER30" s="1"/>
      <c r="UES30" s="1"/>
      <c r="UET30" s="1"/>
      <c r="UEU30" s="1"/>
      <c r="UEV30" s="1"/>
      <c r="UEW30" s="1"/>
      <c r="UEX30" s="1"/>
      <c r="UEY30" s="1"/>
      <c r="UEZ30" s="1"/>
      <c r="UFA30" s="1"/>
      <c r="UFB30" s="1"/>
      <c r="UFC30" s="1"/>
      <c r="UFD30" s="1"/>
      <c r="UFE30" s="1"/>
      <c r="UFF30" s="1"/>
      <c r="UFG30" s="1"/>
      <c r="UFH30" s="1"/>
      <c r="UFI30" s="1"/>
      <c r="UFJ30" s="1"/>
      <c r="UFK30" s="1"/>
      <c r="UFL30" s="1"/>
      <c r="UFM30" s="1"/>
      <c r="UFN30" s="1"/>
      <c r="UFO30" s="1"/>
      <c r="UFP30" s="1"/>
      <c r="UFQ30" s="1"/>
      <c r="UFR30" s="1"/>
      <c r="UFS30" s="1"/>
      <c r="UFT30" s="1"/>
      <c r="UFU30" s="1"/>
      <c r="UFV30" s="1"/>
      <c r="UFW30" s="1"/>
      <c r="UFX30" s="1"/>
      <c r="UFY30" s="1"/>
      <c r="UFZ30" s="1"/>
      <c r="UGA30" s="1"/>
      <c r="UGB30" s="1"/>
      <c r="UGC30" s="1"/>
      <c r="UGD30" s="1"/>
      <c r="UGE30" s="1"/>
      <c r="UGF30" s="1"/>
      <c r="UGG30" s="1"/>
      <c r="UGH30" s="1"/>
      <c r="UGI30" s="1"/>
      <c r="UGJ30" s="1"/>
      <c r="UGK30" s="1"/>
      <c r="UGL30" s="1"/>
      <c r="UGM30" s="1"/>
      <c r="UGN30" s="1"/>
      <c r="UGO30" s="1"/>
      <c r="UGP30" s="1"/>
      <c r="UGQ30" s="1"/>
      <c r="UGR30" s="1"/>
      <c r="UGS30" s="1"/>
      <c r="UGT30" s="1"/>
      <c r="UGU30" s="1"/>
      <c r="UGV30" s="1"/>
      <c r="UGW30" s="1"/>
      <c r="UGX30" s="1"/>
      <c r="UGY30" s="1"/>
      <c r="UGZ30" s="1"/>
      <c r="UHA30" s="1"/>
      <c r="UHB30" s="1"/>
      <c r="UHC30" s="1"/>
      <c r="UHD30" s="1"/>
      <c r="UHE30" s="1"/>
      <c r="UHF30" s="1"/>
      <c r="UHG30" s="1"/>
      <c r="UHH30" s="1"/>
      <c r="UHI30" s="1"/>
      <c r="UHJ30" s="1"/>
      <c r="UHK30" s="1"/>
      <c r="UHL30" s="1"/>
      <c r="UHM30" s="1"/>
      <c r="UHN30" s="1"/>
      <c r="UHO30" s="1"/>
      <c r="UHP30" s="1"/>
      <c r="UHQ30" s="1"/>
      <c r="UHR30" s="1"/>
      <c r="UHS30" s="1"/>
      <c r="UHT30" s="1"/>
      <c r="UHU30" s="1"/>
      <c r="UHV30" s="1"/>
      <c r="UHW30" s="1"/>
      <c r="UHX30" s="1"/>
      <c r="UHY30" s="1"/>
      <c r="UHZ30" s="1"/>
      <c r="UIA30" s="1"/>
      <c r="UIB30" s="1"/>
      <c r="UIC30" s="1"/>
      <c r="UID30" s="1"/>
      <c r="UIE30" s="1"/>
      <c r="UIF30" s="1"/>
      <c r="UIG30" s="1"/>
      <c r="UIH30" s="1"/>
      <c r="UII30" s="1"/>
      <c r="UIJ30" s="1"/>
      <c r="UIK30" s="1"/>
      <c r="UIL30" s="1"/>
      <c r="UIM30" s="1"/>
      <c r="UIN30" s="1"/>
      <c r="UIO30" s="1"/>
      <c r="UIP30" s="1"/>
      <c r="UIQ30" s="1"/>
      <c r="UIR30" s="1"/>
      <c r="UIS30" s="1"/>
      <c r="UIT30" s="1"/>
      <c r="UIU30" s="1"/>
      <c r="UIV30" s="1"/>
      <c r="UIW30" s="1"/>
      <c r="UIX30" s="1"/>
      <c r="UIY30" s="1"/>
      <c r="UIZ30" s="1"/>
      <c r="UJA30" s="1"/>
      <c r="UJB30" s="1"/>
      <c r="UJC30" s="1"/>
      <c r="UJD30" s="1"/>
      <c r="UJE30" s="1"/>
      <c r="UJF30" s="1"/>
      <c r="UJG30" s="1"/>
      <c r="UJH30" s="1"/>
      <c r="UJI30" s="1"/>
      <c r="UJJ30" s="1"/>
      <c r="UJK30" s="1"/>
      <c r="UJL30" s="1"/>
      <c r="UJM30" s="1"/>
      <c r="UJN30" s="1"/>
      <c r="UJO30" s="1"/>
      <c r="UJP30" s="1"/>
      <c r="UJQ30" s="1"/>
      <c r="UJR30" s="1"/>
      <c r="UJS30" s="1"/>
      <c r="UJT30" s="1"/>
      <c r="UJU30" s="1"/>
      <c r="UJV30" s="1"/>
      <c r="UJW30" s="1"/>
      <c r="UJX30" s="1"/>
      <c r="UJY30" s="1"/>
      <c r="UJZ30" s="1"/>
      <c r="UKA30" s="1"/>
      <c r="UKB30" s="1"/>
      <c r="UKC30" s="1"/>
      <c r="UKD30" s="1"/>
      <c r="UKE30" s="1"/>
      <c r="UKF30" s="1"/>
      <c r="UKG30" s="1"/>
      <c r="UKH30" s="1"/>
      <c r="UKI30" s="1"/>
      <c r="UKJ30" s="1"/>
      <c r="UKK30" s="1"/>
      <c r="UKL30" s="1"/>
      <c r="UKM30" s="1"/>
      <c r="UKN30" s="1"/>
      <c r="UKO30" s="1"/>
      <c r="UKP30" s="1"/>
      <c r="UKQ30" s="1"/>
      <c r="UKR30" s="1"/>
      <c r="UKS30" s="1"/>
      <c r="UKT30" s="1"/>
      <c r="UKU30" s="1"/>
      <c r="UKV30" s="1"/>
      <c r="UKW30" s="1"/>
      <c r="UKX30" s="1"/>
      <c r="UKY30" s="1"/>
      <c r="UKZ30" s="1"/>
      <c r="ULA30" s="1"/>
      <c r="ULB30" s="1"/>
      <c r="ULC30" s="1"/>
      <c r="ULD30" s="1"/>
      <c r="ULE30" s="1"/>
      <c r="ULF30" s="1"/>
      <c r="ULG30" s="1"/>
      <c r="ULH30" s="1"/>
      <c r="ULI30" s="1"/>
      <c r="ULJ30" s="1"/>
      <c r="ULK30" s="1"/>
      <c r="ULL30" s="1"/>
      <c r="ULM30" s="1"/>
      <c r="ULN30" s="1"/>
      <c r="ULO30" s="1"/>
      <c r="ULP30" s="1"/>
      <c r="ULQ30" s="1"/>
      <c r="ULR30" s="1"/>
      <c r="ULS30" s="1"/>
      <c r="ULT30" s="1"/>
      <c r="ULU30" s="1"/>
      <c r="ULV30" s="1"/>
      <c r="ULW30" s="1"/>
      <c r="ULX30" s="1"/>
      <c r="ULY30" s="1"/>
      <c r="ULZ30" s="1"/>
      <c r="UMA30" s="1"/>
      <c r="UMB30" s="1"/>
      <c r="UMC30" s="1"/>
      <c r="UMD30" s="1"/>
      <c r="UME30" s="1"/>
      <c r="UMF30" s="1"/>
      <c r="UMG30" s="1"/>
      <c r="UMH30" s="1"/>
      <c r="UMI30" s="1"/>
      <c r="UMJ30" s="1"/>
      <c r="UMK30" s="1"/>
      <c r="UML30" s="1"/>
      <c r="UMM30" s="1"/>
      <c r="UMN30" s="1"/>
      <c r="UMO30" s="1"/>
      <c r="UMP30" s="1"/>
      <c r="UMQ30" s="1"/>
      <c r="UMR30" s="1"/>
      <c r="UMS30" s="1"/>
      <c r="UMT30" s="1"/>
      <c r="UMU30" s="1"/>
      <c r="UMV30" s="1"/>
      <c r="UMW30" s="1"/>
      <c r="UMX30" s="1"/>
      <c r="UMY30" s="1"/>
      <c r="UMZ30" s="1"/>
      <c r="UNA30" s="1"/>
      <c r="UNB30" s="1"/>
      <c r="UNC30" s="1"/>
      <c r="UND30" s="1"/>
      <c r="UNE30" s="1"/>
      <c r="UNF30" s="1"/>
      <c r="UNG30" s="1"/>
      <c r="UNH30" s="1"/>
      <c r="UNI30" s="1"/>
      <c r="UNJ30" s="1"/>
      <c r="UNK30" s="1"/>
      <c r="UNL30" s="1"/>
      <c r="UNM30" s="1"/>
      <c r="UNN30" s="1"/>
      <c r="UNO30" s="1"/>
      <c r="UNP30" s="1"/>
      <c r="UNQ30" s="1"/>
      <c r="UNR30" s="1"/>
      <c r="UNS30" s="1"/>
      <c r="UNT30" s="1"/>
      <c r="UNU30" s="1"/>
      <c r="UNV30" s="1"/>
      <c r="UNW30" s="1"/>
      <c r="UNX30" s="1"/>
      <c r="UNY30" s="1"/>
      <c r="UNZ30" s="1"/>
      <c r="UOA30" s="1"/>
      <c r="UOB30" s="1"/>
      <c r="UOC30" s="1"/>
      <c r="UOD30" s="1"/>
      <c r="UOE30" s="1"/>
      <c r="UOF30" s="1"/>
      <c r="UOG30" s="1"/>
      <c r="UOH30" s="1"/>
      <c r="UOI30" s="1"/>
      <c r="UOJ30" s="1"/>
      <c r="UOK30" s="1"/>
      <c r="UOL30" s="1"/>
      <c r="UOM30" s="1"/>
      <c r="UON30" s="1"/>
      <c r="UOO30" s="1"/>
      <c r="UOP30" s="1"/>
      <c r="UOQ30" s="1"/>
      <c r="UOR30" s="1"/>
      <c r="UOS30" s="1"/>
      <c r="UOT30" s="1"/>
      <c r="UOU30" s="1"/>
      <c r="UOV30" s="1"/>
      <c r="UOW30" s="1"/>
      <c r="UOX30" s="1"/>
      <c r="UOY30" s="1"/>
      <c r="UOZ30" s="1"/>
      <c r="UPA30" s="1"/>
      <c r="UPB30" s="1"/>
      <c r="UPC30" s="1"/>
      <c r="UPD30" s="1"/>
      <c r="UPE30" s="1"/>
      <c r="UPF30" s="1"/>
      <c r="UPG30" s="1"/>
      <c r="UPH30" s="1"/>
      <c r="UPI30" s="1"/>
      <c r="UPJ30" s="1"/>
      <c r="UPK30" s="1"/>
      <c r="UPL30" s="1"/>
      <c r="UPM30" s="1"/>
      <c r="UPN30" s="1"/>
      <c r="UPO30" s="1"/>
      <c r="UPP30" s="1"/>
      <c r="UPQ30" s="1"/>
      <c r="UPR30" s="1"/>
      <c r="UPS30" s="1"/>
      <c r="UPT30" s="1"/>
      <c r="UPU30" s="1"/>
      <c r="UPV30" s="1"/>
      <c r="UPW30" s="1"/>
      <c r="UPX30" s="1"/>
      <c r="UPY30" s="1"/>
      <c r="UPZ30" s="1"/>
      <c r="UQA30" s="1"/>
      <c r="UQB30" s="1"/>
      <c r="UQC30" s="1"/>
      <c r="UQD30" s="1"/>
      <c r="UQE30" s="1"/>
      <c r="UQF30" s="1"/>
      <c r="UQG30" s="1"/>
      <c r="UQH30" s="1"/>
      <c r="UQI30" s="1"/>
      <c r="UQJ30" s="1"/>
      <c r="UQK30" s="1"/>
      <c r="UQL30" s="1"/>
      <c r="UQM30" s="1"/>
      <c r="UQN30" s="1"/>
      <c r="UQO30" s="1"/>
      <c r="UQP30" s="1"/>
      <c r="UQQ30" s="1"/>
      <c r="UQR30" s="1"/>
      <c r="UQS30" s="1"/>
      <c r="UQT30" s="1"/>
      <c r="UQU30" s="1"/>
      <c r="UQV30" s="1"/>
      <c r="UQW30" s="1"/>
      <c r="UQX30" s="1"/>
      <c r="UQY30" s="1"/>
      <c r="UQZ30" s="1"/>
      <c r="URA30" s="1"/>
      <c r="URB30" s="1"/>
      <c r="URC30" s="1"/>
      <c r="URD30" s="1"/>
      <c r="URE30" s="1"/>
      <c r="URF30" s="1"/>
      <c r="URG30" s="1"/>
      <c r="URH30" s="1"/>
      <c r="URI30" s="1"/>
      <c r="URJ30" s="1"/>
      <c r="URK30" s="1"/>
      <c r="URL30" s="1"/>
      <c r="URM30" s="1"/>
      <c r="URN30" s="1"/>
      <c r="URO30" s="1"/>
      <c r="URP30" s="1"/>
      <c r="URQ30" s="1"/>
      <c r="URR30" s="1"/>
      <c r="URS30" s="1"/>
      <c r="URT30" s="1"/>
      <c r="URU30" s="1"/>
      <c r="URV30" s="1"/>
      <c r="URW30" s="1"/>
      <c r="URX30" s="1"/>
      <c r="URY30" s="1"/>
      <c r="URZ30" s="1"/>
      <c r="USA30" s="1"/>
      <c r="USB30" s="1"/>
      <c r="USC30" s="1"/>
      <c r="USD30" s="1"/>
      <c r="USE30" s="1"/>
      <c r="USF30" s="1"/>
      <c r="USG30" s="1"/>
      <c r="USH30" s="1"/>
      <c r="USI30" s="1"/>
      <c r="USJ30" s="1"/>
      <c r="USK30" s="1"/>
      <c r="USL30" s="1"/>
      <c r="USM30" s="1"/>
      <c r="USN30" s="1"/>
      <c r="USO30" s="1"/>
      <c r="USP30" s="1"/>
      <c r="USQ30" s="1"/>
      <c r="USR30" s="1"/>
      <c r="USS30" s="1"/>
      <c r="UST30" s="1"/>
      <c r="USU30" s="1"/>
      <c r="USV30" s="1"/>
      <c r="USW30" s="1"/>
      <c r="USX30" s="1"/>
      <c r="USY30" s="1"/>
      <c r="USZ30" s="1"/>
      <c r="UTA30" s="1"/>
      <c r="UTB30" s="1"/>
      <c r="UTC30" s="1"/>
      <c r="UTD30" s="1"/>
      <c r="UTE30" s="1"/>
      <c r="UTF30" s="1"/>
      <c r="UTG30" s="1"/>
      <c r="UTH30" s="1"/>
      <c r="UTI30" s="1"/>
      <c r="UTJ30" s="1"/>
      <c r="UTK30" s="1"/>
      <c r="UTL30" s="1"/>
      <c r="UTM30" s="1"/>
      <c r="UTN30" s="1"/>
      <c r="UTO30" s="1"/>
      <c r="UTP30" s="1"/>
      <c r="UTQ30" s="1"/>
      <c r="UTR30" s="1"/>
      <c r="UTS30" s="1"/>
      <c r="UTT30" s="1"/>
      <c r="UTU30" s="1"/>
      <c r="UTV30" s="1"/>
      <c r="UTW30" s="1"/>
      <c r="UTX30" s="1"/>
      <c r="UTY30" s="1"/>
      <c r="UTZ30" s="1"/>
      <c r="UUA30" s="1"/>
      <c r="UUB30" s="1"/>
      <c r="UUC30" s="1"/>
      <c r="UUD30" s="1"/>
      <c r="UUE30" s="1"/>
      <c r="UUF30" s="1"/>
      <c r="UUG30" s="1"/>
      <c r="UUH30" s="1"/>
      <c r="UUI30" s="1"/>
      <c r="UUJ30" s="1"/>
      <c r="UUK30" s="1"/>
      <c r="UUL30" s="1"/>
      <c r="UUM30" s="1"/>
      <c r="UUN30" s="1"/>
      <c r="UUO30" s="1"/>
      <c r="UUP30" s="1"/>
      <c r="UUQ30" s="1"/>
      <c r="UUR30" s="1"/>
      <c r="UUS30" s="1"/>
      <c r="UUT30" s="1"/>
      <c r="UUU30" s="1"/>
      <c r="UUV30" s="1"/>
      <c r="UUW30" s="1"/>
      <c r="UUX30" s="1"/>
      <c r="UUY30" s="1"/>
      <c r="UUZ30" s="1"/>
      <c r="UVA30" s="1"/>
      <c r="UVB30" s="1"/>
      <c r="UVC30" s="1"/>
      <c r="UVD30" s="1"/>
      <c r="UVE30" s="1"/>
      <c r="UVF30" s="1"/>
      <c r="UVG30" s="1"/>
      <c r="UVH30" s="1"/>
      <c r="UVI30" s="1"/>
      <c r="UVJ30" s="1"/>
      <c r="UVK30" s="1"/>
      <c r="UVL30" s="1"/>
      <c r="UVM30" s="1"/>
      <c r="UVN30" s="1"/>
      <c r="UVO30" s="1"/>
      <c r="UVP30" s="1"/>
      <c r="UVQ30" s="1"/>
      <c r="UVR30" s="1"/>
      <c r="UVS30" s="1"/>
      <c r="UVT30" s="1"/>
      <c r="UVU30" s="1"/>
      <c r="UVV30" s="1"/>
      <c r="UVW30" s="1"/>
      <c r="UVX30" s="1"/>
      <c r="UVY30" s="1"/>
      <c r="UVZ30" s="1"/>
      <c r="UWA30" s="1"/>
      <c r="UWB30" s="1"/>
      <c r="UWC30" s="1"/>
      <c r="UWD30" s="1"/>
      <c r="UWE30" s="1"/>
      <c r="UWF30" s="1"/>
      <c r="UWG30" s="1"/>
      <c r="UWH30" s="1"/>
      <c r="UWI30" s="1"/>
      <c r="UWJ30" s="1"/>
      <c r="UWK30" s="1"/>
      <c r="UWL30" s="1"/>
      <c r="UWM30" s="1"/>
      <c r="UWN30" s="1"/>
      <c r="UWO30" s="1"/>
      <c r="UWP30" s="1"/>
      <c r="UWQ30" s="1"/>
      <c r="UWR30" s="1"/>
      <c r="UWS30" s="1"/>
      <c r="UWT30" s="1"/>
      <c r="UWU30" s="1"/>
      <c r="UWV30" s="1"/>
      <c r="UWW30" s="1"/>
      <c r="UWX30" s="1"/>
      <c r="UWY30" s="1"/>
      <c r="UWZ30" s="1"/>
      <c r="UXA30" s="1"/>
      <c r="UXB30" s="1"/>
      <c r="UXC30" s="1"/>
      <c r="UXD30" s="1"/>
      <c r="UXE30" s="1"/>
      <c r="UXF30" s="1"/>
      <c r="UXG30" s="1"/>
      <c r="UXH30" s="1"/>
      <c r="UXI30" s="1"/>
      <c r="UXJ30" s="1"/>
      <c r="UXK30" s="1"/>
      <c r="UXL30" s="1"/>
      <c r="UXM30" s="1"/>
      <c r="UXN30" s="1"/>
      <c r="UXO30" s="1"/>
      <c r="UXP30" s="1"/>
      <c r="UXQ30" s="1"/>
      <c r="UXR30" s="1"/>
      <c r="UXS30" s="1"/>
      <c r="UXT30" s="1"/>
      <c r="UXU30" s="1"/>
      <c r="UXV30" s="1"/>
      <c r="UXW30" s="1"/>
      <c r="UXX30" s="1"/>
      <c r="UXY30" s="1"/>
      <c r="UXZ30" s="1"/>
      <c r="UYA30" s="1"/>
      <c r="UYB30" s="1"/>
      <c r="UYC30" s="1"/>
      <c r="UYD30" s="1"/>
      <c r="UYE30" s="1"/>
      <c r="UYF30" s="1"/>
      <c r="UYG30" s="1"/>
      <c r="UYH30" s="1"/>
      <c r="UYI30" s="1"/>
      <c r="UYJ30" s="1"/>
      <c r="UYK30" s="1"/>
      <c r="UYL30" s="1"/>
      <c r="UYM30" s="1"/>
      <c r="UYN30" s="1"/>
      <c r="UYO30" s="1"/>
      <c r="UYP30" s="1"/>
      <c r="UYQ30" s="1"/>
      <c r="UYR30" s="1"/>
      <c r="UYS30" s="1"/>
      <c r="UYT30" s="1"/>
      <c r="UYU30" s="1"/>
      <c r="UYV30" s="1"/>
      <c r="UYW30" s="1"/>
      <c r="UYX30" s="1"/>
      <c r="UYY30" s="1"/>
      <c r="UYZ30" s="1"/>
      <c r="UZA30" s="1"/>
      <c r="UZB30" s="1"/>
      <c r="UZC30" s="1"/>
      <c r="UZD30" s="1"/>
      <c r="UZE30" s="1"/>
      <c r="UZF30" s="1"/>
      <c r="UZG30" s="1"/>
      <c r="UZH30" s="1"/>
      <c r="UZI30" s="1"/>
      <c r="UZJ30" s="1"/>
      <c r="UZK30" s="1"/>
      <c r="UZL30" s="1"/>
      <c r="UZM30" s="1"/>
      <c r="UZN30" s="1"/>
      <c r="UZO30" s="1"/>
      <c r="UZP30" s="1"/>
      <c r="UZQ30" s="1"/>
      <c r="UZR30" s="1"/>
      <c r="UZS30" s="1"/>
      <c r="UZT30" s="1"/>
      <c r="UZU30" s="1"/>
      <c r="UZV30" s="1"/>
      <c r="UZW30" s="1"/>
      <c r="UZX30" s="1"/>
      <c r="UZY30" s="1"/>
      <c r="UZZ30" s="1"/>
      <c r="VAA30" s="1"/>
      <c r="VAB30" s="1"/>
      <c r="VAC30" s="1"/>
      <c r="VAD30" s="1"/>
      <c r="VAE30" s="1"/>
      <c r="VAF30" s="1"/>
      <c r="VAG30" s="1"/>
      <c r="VAH30" s="1"/>
      <c r="VAI30" s="1"/>
      <c r="VAJ30" s="1"/>
      <c r="VAK30" s="1"/>
      <c r="VAL30" s="1"/>
      <c r="VAM30" s="1"/>
      <c r="VAN30" s="1"/>
      <c r="VAO30" s="1"/>
      <c r="VAP30" s="1"/>
      <c r="VAQ30" s="1"/>
      <c r="VAR30" s="1"/>
      <c r="VAS30" s="1"/>
      <c r="VAT30" s="1"/>
      <c r="VAU30" s="1"/>
      <c r="VAV30" s="1"/>
      <c r="VAW30" s="1"/>
      <c r="VAX30" s="1"/>
      <c r="VAY30" s="1"/>
      <c r="VAZ30" s="1"/>
      <c r="VBA30" s="1"/>
      <c r="VBB30" s="1"/>
      <c r="VBC30" s="1"/>
      <c r="VBD30" s="1"/>
      <c r="VBE30" s="1"/>
      <c r="VBF30" s="1"/>
      <c r="VBG30" s="1"/>
      <c r="VBH30" s="1"/>
      <c r="VBI30" s="1"/>
      <c r="VBJ30" s="1"/>
      <c r="VBK30" s="1"/>
      <c r="VBL30" s="1"/>
      <c r="VBM30" s="1"/>
      <c r="VBN30" s="1"/>
      <c r="VBO30" s="1"/>
      <c r="VBP30" s="1"/>
      <c r="VBQ30" s="1"/>
      <c r="VBR30" s="1"/>
      <c r="VBS30" s="1"/>
      <c r="VBT30" s="1"/>
      <c r="VBU30" s="1"/>
      <c r="VBV30" s="1"/>
      <c r="VBW30" s="1"/>
      <c r="VBX30" s="1"/>
      <c r="VBY30" s="1"/>
      <c r="VBZ30" s="1"/>
      <c r="VCA30" s="1"/>
      <c r="VCB30" s="1"/>
      <c r="VCC30" s="1"/>
      <c r="VCD30" s="1"/>
      <c r="VCE30" s="1"/>
      <c r="VCF30" s="1"/>
      <c r="VCG30" s="1"/>
      <c r="VCH30" s="1"/>
      <c r="VCI30" s="1"/>
      <c r="VCJ30" s="1"/>
      <c r="VCK30" s="1"/>
      <c r="VCL30" s="1"/>
      <c r="VCM30" s="1"/>
      <c r="VCN30" s="1"/>
      <c r="VCO30" s="1"/>
      <c r="VCP30" s="1"/>
      <c r="VCQ30" s="1"/>
      <c r="VCR30" s="1"/>
      <c r="VCS30" s="1"/>
      <c r="VCT30" s="1"/>
      <c r="VCU30" s="1"/>
      <c r="VCV30" s="1"/>
      <c r="VCW30" s="1"/>
      <c r="VCX30" s="1"/>
      <c r="VCY30" s="1"/>
      <c r="VCZ30" s="1"/>
      <c r="VDA30" s="1"/>
      <c r="VDB30" s="1"/>
      <c r="VDC30" s="1"/>
      <c r="VDD30" s="1"/>
      <c r="VDE30" s="1"/>
      <c r="VDF30" s="1"/>
      <c r="VDG30" s="1"/>
      <c r="VDH30" s="1"/>
      <c r="VDI30" s="1"/>
      <c r="VDJ30" s="1"/>
      <c r="VDK30" s="1"/>
      <c r="VDL30" s="1"/>
      <c r="VDM30" s="1"/>
      <c r="VDN30" s="1"/>
      <c r="VDO30" s="1"/>
      <c r="VDP30" s="1"/>
      <c r="VDQ30" s="1"/>
      <c r="VDR30" s="1"/>
      <c r="VDS30" s="1"/>
      <c r="VDT30" s="1"/>
      <c r="VDU30" s="1"/>
      <c r="VDV30" s="1"/>
      <c r="VDW30" s="1"/>
      <c r="VDX30" s="1"/>
      <c r="VDY30" s="1"/>
      <c r="VDZ30" s="1"/>
      <c r="VEA30" s="1"/>
      <c r="VEB30" s="1"/>
      <c r="VEC30" s="1"/>
      <c r="VED30" s="1"/>
      <c r="VEE30" s="1"/>
      <c r="VEF30" s="1"/>
      <c r="VEG30" s="1"/>
      <c r="VEH30" s="1"/>
      <c r="VEI30" s="1"/>
      <c r="VEJ30" s="1"/>
      <c r="VEK30" s="1"/>
      <c r="VEL30" s="1"/>
      <c r="VEM30" s="1"/>
      <c r="VEN30" s="1"/>
      <c r="VEO30" s="1"/>
      <c r="VEP30" s="1"/>
      <c r="VEQ30" s="1"/>
      <c r="VER30" s="1"/>
      <c r="VES30" s="1"/>
      <c r="VET30" s="1"/>
      <c r="VEU30" s="1"/>
      <c r="VEV30" s="1"/>
      <c r="VEW30" s="1"/>
      <c r="VEX30" s="1"/>
      <c r="VEY30" s="1"/>
      <c r="VEZ30" s="1"/>
      <c r="VFA30" s="1"/>
      <c r="VFB30" s="1"/>
      <c r="VFC30" s="1"/>
      <c r="VFD30" s="1"/>
      <c r="VFE30" s="1"/>
      <c r="VFF30" s="1"/>
      <c r="VFG30" s="1"/>
      <c r="VFH30" s="1"/>
      <c r="VFI30" s="1"/>
      <c r="VFJ30" s="1"/>
      <c r="VFK30" s="1"/>
      <c r="VFL30" s="1"/>
      <c r="VFM30" s="1"/>
      <c r="VFN30" s="1"/>
      <c r="VFO30" s="1"/>
      <c r="VFP30" s="1"/>
      <c r="VFQ30" s="1"/>
      <c r="VFR30" s="1"/>
      <c r="VFS30" s="1"/>
      <c r="VFT30" s="1"/>
      <c r="VFU30" s="1"/>
      <c r="VFV30" s="1"/>
      <c r="VFW30" s="1"/>
      <c r="VFX30" s="1"/>
      <c r="VFY30" s="1"/>
      <c r="VFZ30" s="1"/>
      <c r="VGA30" s="1"/>
      <c r="VGB30" s="1"/>
      <c r="VGC30" s="1"/>
      <c r="VGD30" s="1"/>
      <c r="VGE30" s="1"/>
      <c r="VGF30" s="1"/>
      <c r="VGG30" s="1"/>
      <c r="VGH30" s="1"/>
      <c r="VGI30" s="1"/>
      <c r="VGJ30" s="1"/>
      <c r="VGK30" s="1"/>
      <c r="VGL30" s="1"/>
      <c r="VGM30" s="1"/>
      <c r="VGN30" s="1"/>
      <c r="VGO30" s="1"/>
      <c r="VGP30" s="1"/>
      <c r="VGQ30" s="1"/>
      <c r="VGR30" s="1"/>
      <c r="VGS30" s="1"/>
      <c r="VGT30" s="1"/>
      <c r="VGU30" s="1"/>
      <c r="VGV30" s="1"/>
      <c r="VGW30" s="1"/>
      <c r="VGX30" s="1"/>
      <c r="VGY30" s="1"/>
      <c r="VGZ30" s="1"/>
      <c r="VHA30" s="1"/>
      <c r="VHB30" s="1"/>
      <c r="VHC30" s="1"/>
      <c r="VHD30" s="1"/>
      <c r="VHE30" s="1"/>
      <c r="VHF30" s="1"/>
      <c r="VHG30" s="1"/>
      <c r="VHH30" s="1"/>
      <c r="VHI30" s="1"/>
      <c r="VHJ30" s="1"/>
      <c r="VHK30" s="1"/>
      <c r="VHL30" s="1"/>
      <c r="VHM30" s="1"/>
      <c r="VHN30" s="1"/>
      <c r="VHO30" s="1"/>
      <c r="VHP30" s="1"/>
      <c r="VHQ30" s="1"/>
      <c r="VHR30" s="1"/>
      <c r="VHS30" s="1"/>
      <c r="VHT30" s="1"/>
      <c r="VHU30" s="1"/>
      <c r="VHV30" s="1"/>
      <c r="VHW30" s="1"/>
      <c r="VHX30" s="1"/>
      <c r="VHY30" s="1"/>
      <c r="VHZ30" s="1"/>
      <c r="VIA30" s="1"/>
      <c r="VIB30" s="1"/>
      <c r="VIC30" s="1"/>
      <c r="VID30" s="1"/>
      <c r="VIE30" s="1"/>
      <c r="VIF30" s="1"/>
      <c r="VIG30" s="1"/>
      <c r="VIH30" s="1"/>
      <c r="VII30" s="1"/>
      <c r="VIJ30" s="1"/>
      <c r="VIK30" s="1"/>
      <c r="VIL30" s="1"/>
      <c r="VIM30" s="1"/>
      <c r="VIN30" s="1"/>
      <c r="VIO30" s="1"/>
      <c r="VIP30" s="1"/>
      <c r="VIQ30" s="1"/>
      <c r="VIR30" s="1"/>
      <c r="VIS30" s="1"/>
      <c r="VIT30" s="1"/>
      <c r="VIU30" s="1"/>
      <c r="VIV30" s="1"/>
      <c r="VIW30" s="1"/>
      <c r="VIX30" s="1"/>
      <c r="VIY30" s="1"/>
      <c r="VIZ30" s="1"/>
      <c r="VJA30" s="1"/>
      <c r="VJB30" s="1"/>
      <c r="VJC30" s="1"/>
      <c r="VJD30" s="1"/>
      <c r="VJE30" s="1"/>
      <c r="VJF30" s="1"/>
      <c r="VJG30" s="1"/>
      <c r="VJH30" s="1"/>
      <c r="VJI30" s="1"/>
      <c r="VJJ30" s="1"/>
      <c r="VJK30" s="1"/>
      <c r="VJL30" s="1"/>
      <c r="VJM30" s="1"/>
      <c r="VJN30" s="1"/>
      <c r="VJO30" s="1"/>
      <c r="VJP30" s="1"/>
      <c r="VJQ30" s="1"/>
      <c r="VJR30" s="1"/>
      <c r="VJS30" s="1"/>
      <c r="VJT30" s="1"/>
      <c r="VJU30" s="1"/>
      <c r="VJV30" s="1"/>
      <c r="VJW30" s="1"/>
      <c r="VJX30" s="1"/>
      <c r="VJY30" s="1"/>
      <c r="VJZ30" s="1"/>
      <c r="VKA30" s="1"/>
      <c r="VKB30" s="1"/>
      <c r="VKC30" s="1"/>
      <c r="VKD30" s="1"/>
      <c r="VKE30" s="1"/>
      <c r="VKF30" s="1"/>
      <c r="VKG30" s="1"/>
      <c r="VKH30" s="1"/>
      <c r="VKI30" s="1"/>
      <c r="VKJ30" s="1"/>
      <c r="VKK30" s="1"/>
      <c r="VKL30" s="1"/>
      <c r="VKM30" s="1"/>
      <c r="VKN30" s="1"/>
      <c r="VKO30" s="1"/>
      <c r="VKP30" s="1"/>
      <c r="VKQ30" s="1"/>
      <c r="VKR30" s="1"/>
      <c r="VKS30" s="1"/>
      <c r="VKT30" s="1"/>
      <c r="VKU30" s="1"/>
      <c r="VKV30" s="1"/>
      <c r="VKW30" s="1"/>
      <c r="VKX30" s="1"/>
      <c r="VKY30" s="1"/>
      <c r="VKZ30" s="1"/>
      <c r="VLA30" s="1"/>
      <c r="VLB30" s="1"/>
      <c r="VLC30" s="1"/>
      <c r="VLD30" s="1"/>
      <c r="VLE30" s="1"/>
      <c r="VLF30" s="1"/>
      <c r="VLG30" s="1"/>
      <c r="VLH30" s="1"/>
      <c r="VLI30" s="1"/>
      <c r="VLJ30" s="1"/>
      <c r="VLK30" s="1"/>
      <c r="VLL30" s="1"/>
      <c r="VLM30" s="1"/>
      <c r="VLN30" s="1"/>
      <c r="VLO30" s="1"/>
      <c r="VLP30" s="1"/>
      <c r="VLQ30" s="1"/>
      <c r="VLR30" s="1"/>
      <c r="VLS30" s="1"/>
      <c r="VLT30" s="1"/>
      <c r="VLU30" s="1"/>
      <c r="VLV30" s="1"/>
      <c r="VLW30" s="1"/>
      <c r="VLX30" s="1"/>
      <c r="VLY30" s="1"/>
      <c r="VLZ30" s="1"/>
      <c r="VMA30" s="1"/>
      <c r="VMB30" s="1"/>
      <c r="VMC30" s="1"/>
      <c r="VMD30" s="1"/>
      <c r="VME30" s="1"/>
      <c r="VMF30" s="1"/>
      <c r="VMG30" s="1"/>
      <c r="VMH30" s="1"/>
      <c r="VMI30" s="1"/>
      <c r="VMJ30" s="1"/>
      <c r="VMK30" s="1"/>
      <c r="VML30" s="1"/>
      <c r="VMM30" s="1"/>
      <c r="VMN30" s="1"/>
      <c r="VMO30" s="1"/>
      <c r="VMP30" s="1"/>
      <c r="VMQ30" s="1"/>
      <c r="VMR30" s="1"/>
      <c r="VMS30" s="1"/>
      <c r="VMT30" s="1"/>
      <c r="VMU30" s="1"/>
      <c r="VMV30" s="1"/>
      <c r="VMW30" s="1"/>
      <c r="VMX30" s="1"/>
      <c r="VMY30" s="1"/>
      <c r="VMZ30" s="1"/>
      <c r="VNA30" s="1"/>
      <c r="VNB30" s="1"/>
      <c r="VNC30" s="1"/>
      <c r="VND30" s="1"/>
      <c r="VNE30" s="1"/>
      <c r="VNF30" s="1"/>
      <c r="VNG30" s="1"/>
      <c r="VNH30" s="1"/>
      <c r="VNI30" s="1"/>
      <c r="VNJ30" s="1"/>
      <c r="VNK30" s="1"/>
      <c r="VNL30" s="1"/>
      <c r="VNM30" s="1"/>
      <c r="VNN30" s="1"/>
      <c r="VNO30" s="1"/>
      <c r="VNP30" s="1"/>
      <c r="VNQ30" s="1"/>
      <c r="VNR30" s="1"/>
      <c r="VNS30" s="1"/>
      <c r="VNT30" s="1"/>
      <c r="VNU30" s="1"/>
      <c r="VNV30" s="1"/>
      <c r="VNW30" s="1"/>
      <c r="VNX30" s="1"/>
      <c r="VNY30" s="1"/>
      <c r="VNZ30" s="1"/>
      <c r="VOA30" s="1"/>
      <c r="VOB30" s="1"/>
      <c r="VOC30" s="1"/>
      <c r="VOD30" s="1"/>
      <c r="VOE30" s="1"/>
      <c r="VOF30" s="1"/>
      <c r="VOG30" s="1"/>
      <c r="VOH30" s="1"/>
      <c r="VOI30" s="1"/>
      <c r="VOJ30" s="1"/>
      <c r="VOK30" s="1"/>
      <c r="VOL30" s="1"/>
      <c r="VOM30" s="1"/>
      <c r="VON30" s="1"/>
      <c r="VOO30" s="1"/>
      <c r="VOP30" s="1"/>
      <c r="VOQ30" s="1"/>
      <c r="VOR30" s="1"/>
      <c r="VOS30" s="1"/>
      <c r="VOT30" s="1"/>
      <c r="VOU30" s="1"/>
      <c r="VOV30" s="1"/>
      <c r="VOW30" s="1"/>
      <c r="VOX30" s="1"/>
      <c r="VOY30" s="1"/>
      <c r="VOZ30" s="1"/>
      <c r="VPA30" s="1"/>
      <c r="VPB30" s="1"/>
      <c r="VPC30" s="1"/>
      <c r="VPD30" s="1"/>
      <c r="VPE30" s="1"/>
      <c r="VPF30" s="1"/>
      <c r="VPG30" s="1"/>
      <c r="VPH30" s="1"/>
      <c r="VPI30" s="1"/>
      <c r="VPJ30" s="1"/>
      <c r="VPK30" s="1"/>
      <c r="VPL30" s="1"/>
      <c r="VPM30" s="1"/>
      <c r="VPN30" s="1"/>
      <c r="VPO30" s="1"/>
      <c r="VPP30" s="1"/>
      <c r="VPQ30" s="1"/>
      <c r="VPR30" s="1"/>
      <c r="VPS30" s="1"/>
      <c r="VPT30" s="1"/>
      <c r="VPU30" s="1"/>
      <c r="VPV30" s="1"/>
      <c r="VPW30" s="1"/>
      <c r="VPX30" s="1"/>
      <c r="VPY30" s="1"/>
      <c r="VPZ30" s="1"/>
      <c r="VQA30" s="1"/>
      <c r="VQB30" s="1"/>
      <c r="VQC30" s="1"/>
      <c r="VQD30" s="1"/>
      <c r="VQE30" s="1"/>
      <c r="VQF30" s="1"/>
      <c r="VQG30" s="1"/>
      <c r="VQH30" s="1"/>
      <c r="VQI30" s="1"/>
      <c r="VQJ30" s="1"/>
      <c r="VQK30" s="1"/>
      <c r="VQL30" s="1"/>
      <c r="VQM30" s="1"/>
      <c r="VQN30" s="1"/>
      <c r="VQO30" s="1"/>
      <c r="VQP30" s="1"/>
      <c r="VQQ30" s="1"/>
      <c r="VQR30" s="1"/>
      <c r="VQS30" s="1"/>
      <c r="VQT30" s="1"/>
      <c r="VQU30" s="1"/>
      <c r="VQV30" s="1"/>
      <c r="VQW30" s="1"/>
      <c r="VQX30" s="1"/>
      <c r="VQY30" s="1"/>
      <c r="VQZ30" s="1"/>
      <c r="VRA30" s="1"/>
      <c r="VRB30" s="1"/>
      <c r="VRC30" s="1"/>
      <c r="VRD30" s="1"/>
      <c r="VRE30" s="1"/>
      <c r="VRF30" s="1"/>
      <c r="VRG30" s="1"/>
      <c r="VRH30" s="1"/>
      <c r="VRI30" s="1"/>
      <c r="VRJ30" s="1"/>
      <c r="VRK30" s="1"/>
      <c r="VRL30" s="1"/>
      <c r="VRM30" s="1"/>
      <c r="VRN30" s="1"/>
      <c r="VRO30" s="1"/>
      <c r="VRP30" s="1"/>
      <c r="VRQ30" s="1"/>
      <c r="VRR30" s="1"/>
      <c r="VRS30" s="1"/>
      <c r="VRT30" s="1"/>
      <c r="VRU30" s="1"/>
      <c r="VRV30" s="1"/>
      <c r="VRW30" s="1"/>
      <c r="VRX30" s="1"/>
      <c r="VRY30" s="1"/>
      <c r="VRZ30" s="1"/>
      <c r="VSA30" s="1"/>
      <c r="VSB30" s="1"/>
      <c r="VSC30" s="1"/>
      <c r="VSD30" s="1"/>
      <c r="VSE30" s="1"/>
      <c r="VSF30" s="1"/>
      <c r="VSG30" s="1"/>
      <c r="VSH30" s="1"/>
      <c r="VSI30" s="1"/>
      <c r="VSJ30" s="1"/>
      <c r="VSK30" s="1"/>
      <c r="VSL30" s="1"/>
      <c r="VSM30" s="1"/>
      <c r="VSN30" s="1"/>
      <c r="VSO30" s="1"/>
      <c r="VSP30" s="1"/>
      <c r="VSQ30" s="1"/>
      <c r="VSR30" s="1"/>
      <c r="VSS30" s="1"/>
      <c r="VST30" s="1"/>
      <c r="VSU30" s="1"/>
      <c r="VSV30" s="1"/>
      <c r="VSW30" s="1"/>
      <c r="VSX30" s="1"/>
      <c r="VSY30" s="1"/>
      <c r="VSZ30" s="1"/>
      <c r="VTA30" s="1"/>
      <c r="VTB30" s="1"/>
      <c r="VTC30" s="1"/>
      <c r="VTD30" s="1"/>
      <c r="VTE30" s="1"/>
      <c r="VTF30" s="1"/>
      <c r="VTG30" s="1"/>
      <c r="VTH30" s="1"/>
      <c r="VTI30" s="1"/>
      <c r="VTJ30" s="1"/>
      <c r="VTK30" s="1"/>
      <c r="VTL30" s="1"/>
      <c r="VTM30" s="1"/>
      <c r="VTN30" s="1"/>
      <c r="VTO30" s="1"/>
      <c r="VTP30" s="1"/>
      <c r="VTQ30" s="1"/>
      <c r="VTR30" s="1"/>
      <c r="VTS30" s="1"/>
      <c r="VTT30" s="1"/>
      <c r="VTU30" s="1"/>
      <c r="VTV30" s="1"/>
      <c r="VTW30" s="1"/>
      <c r="VTX30" s="1"/>
      <c r="VTY30" s="1"/>
      <c r="VTZ30" s="1"/>
      <c r="VUA30" s="1"/>
      <c r="VUB30" s="1"/>
      <c r="VUC30" s="1"/>
      <c r="VUD30" s="1"/>
      <c r="VUE30" s="1"/>
      <c r="VUF30" s="1"/>
      <c r="VUG30" s="1"/>
      <c r="VUH30" s="1"/>
      <c r="VUI30" s="1"/>
      <c r="VUJ30" s="1"/>
      <c r="VUK30" s="1"/>
      <c r="VUL30" s="1"/>
      <c r="VUM30" s="1"/>
      <c r="VUN30" s="1"/>
      <c r="VUO30" s="1"/>
      <c r="VUP30" s="1"/>
      <c r="VUQ30" s="1"/>
      <c r="VUR30" s="1"/>
      <c r="VUS30" s="1"/>
      <c r="VUT30" s="1"/>
      <c r="VUU30" s="1"/>
      <c r="VUV30" s="1"/>
      <c r="VUW30" s="1"/>
      <c r="VUX30" s="1"/>
      <c r="VUY30" s="1"/>
      <c r="VUZ30" s="1"/>
      <c r="VVA30" s="1"/>
      <c r="VVB30" s="1"/>
      <c r="VVC30" s="1"/>
      <c r="VVD30" s="1"/>
      <c r="VVE30" s="1"/>
      <c r="VVF30" s="1"/>
      <c r="VVG30" s="1"/>
      <c r="VVH30" s="1"/>
      <c r="VVI30" s="1"/>
      <c r="VVJ30" s="1"/>
      <c r="VVK30" s="1"/>
      <c r="VVL30" s="1"/>
      <c r="VVM30" s="1"/>
      <c r="VVN30" s="1"/>
      <c r="VVO30" s="1"/>
      <c r="VVP30" s="1"/>
      <c r="VVQ30" s="1"/>
      <c r="VVR30" s="1"/>
      <c r="VVS30" s="1"/>
      <c r="VVT30" s="1"/>
      <c r="VVU30" s="1"/>
      <c r="VVV30" s="1"/>
      <c r="VVW30" s="1"/>
      <c r="VVX30" s="1"/>
      <c r="VVY30" s="1"/>
      <c r="VVZ30" s="1"/>
      <c r="VWA30" s="1"/>
      <c r="VWB30" s="1"/>
      <c r="VWC30" s="1"/>
      <c r="VWD30" s="1"/>
      <c r="VWE30" s="1"/>
      <c r="VWF30" s="1"/>
      <c r="VWG30" s="1"/>
      <c r="VWH30" s="1"/>
      <c r="VWI30" s="1"/>
      <c r="VWJ30" s="1"/>
      <c r="VWK30" s="1"/>
      <c r="VWL30" s="1"/>
      <c r="VWM30" s="1"/>
      <c r="VWN30" s="1"/>
      <c r="VWO30" s="1"/>
      <c r="VWP30" s="1"/>
      <c r="VWQ30" s="1"/>
      <c r="VWR30" s="1"/>
      <c r="VWS30" s="1"/>
      <c r="VWT30" s="1"/>
      <c r="VWU30" s="1"/>
      <c r="VWV30" s="1"/>
      <c r="VWW30" s="1"/>
      <c r="VWX30" s="1"/>
      <c r="VWY30" s="1"/>
      <c r="VWZ30" s="1"/>
      <c r="VXA30" s="1"/>
      <c r="VXB30" s="1"/>
      <c r="VXC30" s="1"/>
      <c r="VXD30" s="1"/>
      <c r="VXE30" s="1"/>
      <c r="VXF30" s="1"/>
      <c r="VXG30" s="1"/>
      <c r="VXH30" s="1"/>
      <c r="VXI30" s="1"/>
      <c r="VXJ30" s="1"/>
      <c r="VXK30" s="1"/>
      <c r="VXL30" s="1"/>
      <c r="VXM30" s="1"/>
      <c r="VXN30" s="1"/>
      <c r="VXO30" s="1"/>
      <c r="VXP30" s="1"/>
      <c r="VXQ30" s="1"/>
      <c r="VXR30" s="1"/>
      <c r="VXS30" s="1"/>
      <c r="VXT30" s="1"/>
      <c r="VXU30" s="1"/>
      <c r="VXV30" s="1"/>
      <c r="VXW30" s="1"/>
      <c r="VXX30" s="1"/>
      <c r="VXY30" s="1"/>
      <c r="VXZ30" s="1"/>
      <c r="VYA30" s="1"/>
      <c r="VYB30" s="1"/>
      <c r="VYC30" s="1"/>
      <c r="VYD30" s="1"/>
      <c r="VYE30" s="1"/>
      <c r="VYF30" s="1"/>
      <c r="VYG30" s="1"/>
      <c r="VYH30" s="1"/>
      <c r="VYI30" s="1"/>
      <c r="VYJ30" s="1"/>
      <c r="VYK30" s="1"/>
      <c r="VYL30" s="1"/>
      <c r="VYM30" s="1"/>
      <c r="VYN30" s="1"/>
      <c r="VYO30" s="1"/>
      <c r="VYP30" s="1"/>
      <c r="VYQ30" s="1"/>
      <c r="VYR30" s="1"/>
      <c r="VYS30" s="1"/>
      <c r="VYT30" s="1"/>
      <c r="VYU30" s="1"/>
      <c r="VYV30" s="1"/>
      <c r="VYW30" s="1"/>
      <c r="VYX30" s="1"/>
      <c r="VYY30" s="1"/>
      <c r="VYZ30" s="1"/>
      <c r="VZA30" s="1"/>
      <c r="VZB30" s="1"/>
      <c r="VZC30" s="1"/>
      <c r="VZD30" s="1"/>
      <c r="VZE30" s="1"/>
      <c r="VZF30" s="1"/>
      <c r="VZG30" s="1"/>
      <c r="VZH30" s="1"/>
      <c r="VZI30" s="1"/>
      <c r="VZJ30" s="1"/>
      <c r="VZK30" s="1"/>
      <c r="VZL30" s="1"/>
      <c r="VZM30" s="1"/>
      <c r="VZN30" s="1"/>
      <c r="VZO30" s="1"/>
      <c r="VZP30" s="1"/>
      <c r="VZQ30" s="1"/>
      <c r="VZR30" s="1"/>
      <c r="VZS30" s="1"/>
      <c r="VZT30" s="1"/>
      <c r="VZU30" s="1"/>
      <c r="VZV30" s="1"/>
      <c r="VZW30" s="1"/>
      <c r="VZX30" s="1"/>
      <c r="VZY30" s="1"/>
      <c r="VZZ30" s="1"/>
      <c r="WAA30" s="1"/>
      <c r="WAB30" s="1"/>
      <c r="WAC30" s="1"/>
      <c r="WAD30" s="1"/>
      <c r="WAE30" s="1"/>
      <c r="WAF30" s="1"/>
      <c r="WAG30" s="1"/>
      <c r="WAH30" s="1"/>
      <c r="WAI30" s="1"/>
      <c r="WAJ30" s="1"/>
      <c r="WAK30" s="1"/>
      <c r="WAL30" s="1"/>
      <c r="WAM30" s="1"/>
      <c r="WAN30" s="1"/>
      <c r="WAO30" s="1"/>
      <c r="WAP30" s="1"/>
      <c r="WAQ30" s="1"/>
      <c r="WAR30" s="1"/>
      <c r="WAS30" s="1"/>
      <c r="WAT30" s="1"/>
      <c r="WAU30" s="1"/>
      <c r="WAV30" s="1"/>
      <c r="WAW30" s="1"/>
      <c r="WAX30" s="1"/>
      <c r="WAY30" s="1"/>
      <c r="WAZ30" s="1"/>
      <c r="WBA30" s="1"/>
      <c r="WBB30" s="1"/>
      <c r="WBC30" s="1"/>
      <c r="WBD30" s="1"/>
      <c r="WBE30" s="1"/>
      <c r="WBF30" s="1"/>
      <c r="WBG30" s="1"/>
      <c r="WBH30" s="1"/>
      <c r="WBI30" s="1"/>
      <c r="WBJ30" s="1"/>
      <c r="WBK30" s="1"/>
      <c r="WBL30" s="1"/>
      <c r="WBM30" s="1"/>
      <c r="WBN30" s="1"/>
      <c r="WBO30" s="1"/>
      <c r="WBP30" s="1"/>
      <c r="WBQ30" s="1"/>
      <c r="WBR30" s="1"/>
      <c r="WBS30" s="1"/>
      <c r="WBT30" s="1"/>
      <c r="WBU30" s="1"/>
      <c r="WBV30" s="1"/>
      <c r="WBW30" s="1"/>
      <c r="WBX30" s="1"/>
      <c r="WBY30" s="1"/>
      <c r="WBZ30" s="1"/>
      <c r="WCA30" s="1"/>
      <c r="WCB30" s="1"/>
      <c r="WCC30" s="1"/>
      <c r="WCD30" s="1"/>
      <c r="WCE30" s="1"/>
      <c r="WCF30" s="1"/>
      <c r="WCG30" s="1"/>
      <c r="WCH30" s="1"/>
      <c r="WCI30" s="1"/>
      <c r="WCJ30" s="1"/>
      <c r="WCK30" s="1"/>
      <c r="WCL30" s="1"/>
      <c r="WCM30" s="1"/>
      <c r="WCN30" s="1"/>
      <c r="WCO30" s="1"/>
      <c r="WCP30" s="1"/>
      <c r="WCQ30" s="1"/>
      <c r="WCR30" s="1"/>
      <c r="WCS30" s="1"/>
      <c r="WCT30" s="1"/>
      <c r="WCU30" s="1"/>
      <c r="WCV30" s="1"/>
      <c r="WCW30" s="1"/>
      <c r="WCX30" s="1"/>
      <c r="WCY30" s="1"/>
      <c r="WCZ30" s="1"/>
      <c r="WDA30" s="1"/>
      <c r="WDB30" s="1"/>
      <c r="WDC30" s="1"/>
      <c r="WDD30" s="1"/>
      <c r="WDE30" s="1"/>
      <c r="WDF30" s="1"/>
      <c r="WDG30" s="1"/>
      <c r="WDH30" s="1"/>
      <c r="WDI30" s="1"/>
      <c r="WDJ30" s="1"/>
      <c r="WDK30" s="1"/>
      <c r="WDL30" s="1"/>
      <c r="WDM30" s="1"/>
      <c r="WDN30" s="1"/>
      <c r="WDO30" s="1"/>
      <c r="WDP30" s="1"/>
      <c r="WDQ30" s="1"/>
      <c r="WDR30" s="1"/>
      <c r="WDS30" s="1"/>
      <c r="WDT30" s="1"/>
      <c r="WDU30" s="1"/>
      <c r="WDV30" s="1"/>
      <c r="WDW30" s="1"/>
      <c r="WDX30" s="1"/>
      <c r="WDY30" s="1"/>
      <c r="WDZ30" s="1"/>
      <c r="WEA30" s="1"/>
      <c r="WEB30" s="1"/>
      <c r="WEC30" s="1"/>
      <c r="WED30" s="1"/>
      <c r="WEE30" s="1"/>
      <c r="WEF30" s="1"/>
      <c r="WEG30" s="1"/>
      <c r="WEH30" s="1"/>
      <c r="WEI30" s="1"/>
      <c r="WEJ30" s="1"/>
      <c r="WEK30" s="1"/>
      <c r="WEL30" s="1"/>
      <c r="WEM30" s="1"/>
      <c r="WEN30" s="1"/>
      <c r="WEO30" s="1"/>
      <c r="WEP30" s="1"/>
      <c r="WEQ30" s="1"/>
      <c r="WER30" s="1"/>
      <c r="WES30" s="1"/>
      <c r="WET30" s="1"/>
      <c r="WEU30" s="1"/>
      <c r="WEV30" s="1"/>
      <c r="WEW30" s="1"/>
      <c r="WEX30" s="1"/>
      <c r="WEY30" s="1"/>
      <c r="WEZ30" s="1"/>
      <c r="WFA30" s="1"/>
      <c r="WFB30" s="1"/>
      <c r="WFC30" s="1"/>
      <c r="WFD30" s="1"/>
      <c r="WFE30" s="1"/>
      <c r="WFF30" s="1"/>
      <c r="WFG30" s="1"/>
      <c r="WFH30" s="1"/>
      <c r="WFI30" s="1"/>
      <c r="WFJ30" s="1"/>
      <c r="WFK30" s="1"/>
      <c r="WFL30" s="1"/>
      <c r="WFM30" s="1"/>
      <c r="WFN30" s="1"/>
      <c r="WFO30" s="1"/>
      <c r="WFP30" s="1"/>
      <c r="WFQ30" s="1"/>
      <c r="WFR30" s="1"/>
      <c r="WFS30" s="1"/>
      <c r="WFT30" s="1"/>
      <c r="WFU30" s="1"/>
      <c r="WFV30" s="1"/>
      <c r="WFW30" s="1"/>
      <c r="WFX30" s="1"/>
      <c r="WFY30" s="1"/>
      <c r="WFZ30" s="1"/>
      <c r="WGA30" s="1"/>
      <c r="WGB30" s="1"/>
      <c r="WGC30" s="1"/>
      <c r="WGD30" s="1"/>
      <c r="WGE30" s="1"/>
      <c r="WGF30" s="1"/>
      <c r="WGG30" s="1"/>
      <c r="WGH30" s="1"/>
      <c r="WGI30" s="1"/>
      <c r="WGJ30" s="1"/>
      <c r="WGK30" s="1"/>
      <c r="WGL30" s="1"/>
      <c r="WGM30" s="1"/>
      <c r="WGN30" s="1"/>
      <c r="WGO30" s="1"/>
      <c r="WGP30" s="1"/>
      <c r="WGQ30" s="1"/>
      <c r="WGR30" s="1"/>
      <c r="WGS30" s="1"/>
      <c r="WGT30" s="1"/>
      <c r="WGU30" s="1"/>
      <c r="WGV30" s="1"/>
      <c r="WGW30" s="1"/>
      <c r="WGX30" s="1"/>
      <c r="WGY30" s="1"/>
      <c r="WGZ30" s="1"/>
      <c r="WHA30" s="1"/>
      <c r="WHB30" s="1"/>
      <c r="WHC30" s="1"/>
      <c r="WHD30" s="1"/>
      <c r="WHE30" s="1"/>
      <c r="WHF30" s="1"/>
      <c r="WHG30" s="1"/>
      <c r="WHH30" s="1"/>
      <c r="WHI30" s="1"/>
      <c r="WHJ30" s="1"/>
      <c r="WHK30" s="1"/>
      <c r="WHL30" s="1"/>
      <c r="WHM30" s="1"/>
      <c r="WHN30" s="1"/>
      <c r="WHO30" s="1"/>
      <c r="WHP30" s="1"/>
      <c r="WHQ30" s="1"/>
      <c r="WHR30" s="1"/>
      <c r="WHS30" s="1"/>
      <c r="WHT30" s="1"/>
      <c r="WHU30" s="1"/>
      <c r="WHV30" s="1"/>
      <c r="WHW30" s="1"/>
      <c r="WHX30" s="1"/>
      <c r="WHY30" s="1"/>
      <c r="WHZ30" s="1"/>
      <c r="WIA30" s="1"/>
      <c r="WIB30" s="1"/>
      <c r="WIC30" s="1"/>
      <c r="WID30" s="1"/>
      <c r="WIE30" s="1"/>
      <c r="WIF30" s="1"/>
      <c r="WIG30" s="1"/>
      <c r="WIH30" s="1"/>
      <c r="WII30" s="1"/>
      <c r="WIJ30" s="1"/>
      <c r="WIK30" s="1"/>
      <c r="WIL30" s="1"/>
      <c r="WIM30" s="1"/>
      <c r="WIN30" s="1"/>
      <c r="WIO30" s="1"/>
      <c r="WIP30" s="1"/>
      <c r="WIQ30" s="1"/>
      <c r="WIR30" s="1"/>
      <c r="WIS30" s="1"/>
      <c r="WIT30" s="1"/>
      <c r="WIU30" s="1"/>
      <c r="WIV30" s="1"/>
      <c r="WIW30" s="1"/>
      <c r="WIX30" s="1"/>
      <c r="WIY30" s="1"/>
      <c r="WIZ30" s="1"/>
      <c r="WJA30" s="1"/>
      <c r="WJB30" s="1"/>
      <c r="WJC30" s="1"/>
      <c r="WJD30" s="1"/>
      <c r="WJE30" s="1"/>
      <c r="WJF30" s="1"/>
      <c r="WJG30" s="1"/>
      <c r="WJH30" s="1"/>
      <c r="WJI30" s="1"/>
      <c r="WJJ30" s="1"/>
      <c r="WJK30" s="1"/>
      <c r="WJL30" s="1"/>
      <c r="WJM30" s="1"/>
      <c r="WJN30" s="1"/>
      <c r="WJO30" s="1"/>
      <c r="WJP30" s="1"/>
      <c r="WJQ30" s="1"/>
      <c r="WJR30" s="1"/>
      <c r="WJS30" s="1"/>
      <c r="WJT30" s="1"/>
      <c r="WJU30" s="1"/>
      <c r="WJV30" s="1"/>
      <c r="WJW30" s="1"/>
      <c r="WJX30" s="1"/>
      <c r="WJY30" s="1"/>
      <c r="WJZ30" s="1"/>
      <c r="WKA30" s="1"/>
      <c r="WKB30" s="1"/>
      <c r="WKC30" s="1"/>
      <c r="WKD30" s="1"/>
      <c r="WKE30" s="1"/>
      <c r="WKF30" s="1"/>
      <c r="WKG30" s="1"/>
      <c r="WKH30" s="1"/>
      <c r="WKI30" s="1"/>
      <c r="WKJ30" s="1"/>
      <c r="WKK30" s="1"/>
      <c r="WKL30" s="1"/>
      <c r="WKM30" s="1"/>
      <c r="WKN30" s="1"/>
      <c r="WKO30" s="1"/>
      <c r="WKP30" s="1"/>
      <c r="WKQ30" s="1"/>
      <c r="WKR30" s="1"/>
      <c r="WKS30" s="1"/>
      <c r="WKT30" s="1"/>
      <c r="WKU30" s="1"/>
      <c r="WKV30" s="1"/>
      <c r="WKW30" s="1"/>
      <c r="WKX30" s="1"/>
      <c r="WKY30" s="1"/>
      <c r="WKZ30" s="1"/>
      <c r="WLA30" s="1"/>
      <c r="WLB30" s="1"/>
      <c r="WLC30" s="1"/>
      <c r="WLD30" s="1"/>
      <c r="WLE30" s="1"/>
      <c r="WLF30" s="1"/>
      <c r="WLG30" s="1"/>
      <c r="WLH30" s="1"/>
      <c r="WLI30" s="1"/>
      <c r="WLJ30" s="1"/>
      <c r="WLK30" s="1"/>
      <c r="WLL30" s="1"/>
      <c r="WLM30" s="1"/>
      <c r="WLN30" s="1"/>
      <c r="WLO30" s="1"/>
      <c r="WLP30" s="1"/>
      <c r="WLQ30" s="1"/>
      <c r="WLR30" s="1"/>
      <c r="WLS30" s="1"/>
      <c r="WLT30" s="1"/>
      <c r="WLU30" s="1"/>
      <c r="WLV30" s="1"/>
      <c r="WLW30" s="1"/>
      <c r="WLX30" s="1"/>
      <c r="WLY30" s="1"/>
      <c r="WLZ30" s="1"/>
      <c r="WMA30" s="1"/>
      <c r="WMB30" s="1"/>
      <c r="WMC30" s="1"/>
      <c r="WMD30" s="1"/>
      <c r="WME30" s="1"/>
      <c r="WMF30" s="1"/>
      <c r="WMG30" s="1"/>
      <c r="WMH30" s="1"/>
      <c r="WMI30" s="1"/>
      <c r="WMJ30" s="1"/>
      <c r="WMK30" s="1"/>
      <c r="WML30" s="1"/>
      <c r="WMM30" s="1"/>
      <c r="WMN30" s="1"/>
      <c r="WMO30" s="1"/>
      <c r="WMP30" s="1"/>
      <c r="WMQ30" s="1"/>
      <c r="WMR30" s="1"/>
      <c r="WMS30" s="1"/>
      <c r="WMT30" s="1"/>
      <c r="WMU30" s="1"/>
      <c r="WMV30" s="1"/>
      <c r="WMW30" s="1"/>
      <c r="WMX30" s="1"/>
      <c r="WMY30" s="1"/>
      <c r="WMZ30" s="1"/>
      <c r="WNA30" s="1"/>
      <c r="WNB30" s="1"/>
      <c r="WNC30" s="1"/>
      <c r="WND30" s="1"/>
      <c r="WNE30" s="1"/>
      <c r="WNF30" s="1"/>
      <c r="WNG30" s="1"/>
      <c r="WNH30" s="1"/>
      <c r="WNI30" s="1"/>
      <c r="WNJ30" s="1"/>
      <c r="WNK30" s="1"/>
      <c r="WNL30" s="1"/>
      <c r="WNM30" s="1"/>
      <c r="WNN30" s="1"/>
      <c r="WNO30" s="1"/>
      <c r="WNP30" s="1"/>
      <c r="WNQ30" s="1"/>
      <c r="WNR30" s="1"/>
      <c r="WNS30" s="1"/>
      <c r="WNT30" s="1"/>
      <c r="WNU30" s="1"/>
      <c r="WNV30" s="1"/>
      <c r="WNW30" s="1"/>
      <c r="WNX30" s="1"/>
      <c r="WNY30" s="1"/>
      <c r="WNZ30" s="1"/>
      <c r="WOA30" s="1"/>
      <c r="WOB30" s="1"/>
      <c r="WOC30" s="1"/>
      <c r="WOD30" s="1"/>
      <c r="WOE30" s="1"/>
      <c r="WOF30" s="1"/>
      <c r="WOG30" s="1"/>
      <c r="WOH30" s="1"/>
      <c r="WOI30" s="1"/>
      <c r="WOJ30" s="1"/>
      <c r="WOK30" s="1"/>
      <c r="WOL30" s="1"/>
      <c r="WOM30" s="1"/>
      <c r="WON30" s="1"/>
      <c r="WOO30" s="1"/>
      <c r="WOP30" s="1"/>
      <c r="WOQ30" s="1"/>
      <c r="WOR30" s="1"/>
      <c r="WOS30" s="1"/>
      <c r="WOT30" s="1"/>
      <c r="WOU30" s="1"/>
      <c r="WOV30" s="1"/>
      <c r="WOW30" s="1"/>
      <c r="WOX30" s="1"/>
      <c r="WOY30" s="1"/>
      <c r="WOZ30" s="1"/>
      <c r="WPA30" s="1"/>
      <c r="WPB30" s="1"/>
      <c r="WPC30" s="1"/>
      <c r="WPD30" s="1"/>
      <c r="WPE30" s="1"/>
      <c r="WPF30" s="1"/>
      <c r="WPG30" s="1"/>
      <c r="WPH30" s="1"/>
      <c r="WPI30" s="1"/>
      <c r="WPJ30" s="1"/>
      <c r="WPK30" s="1"/>
      <c r="WPL30" s="1"/>
      <c r="WPM30" s="1"/>
      <c r="WPN30" s="1"/>
      <c r="WPO30" s="1"/>
      <c r="WPP30" s="1"/>
      <c r="WPQ30" s="1"/>
      <c r="WPR30" s="1"/>
      <c r="WPS30" s="1"/>
      <c r="WPT30" s="1"/>
      <c r="WPU30" s="1"/>
      <c r="WPV30" s="1"/>
      <c r="WPW30" s="1"/>
      <c r="WPX30" s="1"/>
      <c r="WPY30" s="1"/>
      <c r="WPZ30" s="1"/>
      <c r="WQA30" s="1"/>
      <c r="WQB30" s="1"/>
      <c r="WQC30" s="1"/>
      <c r="WQD30" s="1"/>
      <c r="WQE30" s="1"/>
      <c r="WQF30" s="1"/>
      <c r="WQG30" s="1"/>
      <c r="WQH30" s="1"/>
      <c r="WQI30" s="1"/>
      <c r="WQJ30" s="1"/>
      <c r="WQK30" s="1"/>
      <c r="WQL30" s="1"/>
      <c r="WQM30" s="1"/>
      <c r="WQN30" s="1"/>
      <c r="WQO30" s="1"/>
      <c r="WQP30" s="1"/>
      <c r="WQQ30" s="1"/>
      <c r="WQR30" s="1"/>
      <c r="WQS30" s="1"/>
      <c r="WQT30" s="1"/>
      <c r="WQU30" s="1"/>
      <c r="WQV30" s="1"/>
      <c r="WQW30" s="1"/>
      <c r="WQX30" s="1"/>
      <c r="WQY30" s="1"/>
      <c r="WQZ30" s="1"/>
      <c r="WRA30" s="1"/>
      <c r="WRB30" s="1"/>
      <c r="WRC30" s="1"/>
      <c r="WRD30" s="1"/>
      <c r="WRE30" s="1"/>
      <c r="WRF30" s="1"/>
      <c r="WRG30" s="1"/>
      <c r="WRH30" s="1"/>
      <c r="WRI30" s="1"/>
      <c r="WRJ30" s="1"/>
      <c r="WRK30" s="1"/>
      <c r="WRL30" s="1"/>
      <c r="WRM30" s="1"/>
      <c r="WRN30" s="1"/>
      <c r="WRO30" s="1"/>
      <c r="WRP30" s="1"/>
      <c r="WRQ30" s="1"/>
      <c r="WRR30" s="1"/>
      <c r="WRS30" s="1"/>
      <c r="WRT30" s="1"/>
      <c r="WRU30" s="1"/>
      <c r="WRV30" s="1"/>
      <c r="WRW30" s="1"/>
      <c r="WRX30" s="1"/>
      <c r="WRY30" s="1"/>
      <c r="WRZ30" s="1"/>
      <c r="WSA30" s="1"/>
      <c r="WSB30" s="1"/>
      <c r="WSC30" s="1"/>
      <c r="WSD30" s="1"/>
      <c r="WSE30" s="1"/>
      <c r="WSF30" s="1"/>
      <c r="WSG30" s="1"/>
      <c r="WSH30" s="1"/>
      <c r="WSI30" s="1"/>
      <c r="WSJ30" s="1"/>
      <c r="WSK30" s="1"/>
      <c r="WSL30" s="1"/>
      <c r="WSM30" s="1"/>
      <c r="WSN30" s="1"/>
      <c r="WSO30" s="1"/>
      <c r="WSP30" s="1"/>
      <c r="WSQ30" s="1"/>
      <c r="WSR30" s="1"/>
      <c r="WSS30" s="1"/>
      <c r="WST30" s="1"/>
      <c r="WSU30" s="1"/>
      <c r="WSV30" s="1"/>
      <c r="WSW30" s="1"/>
      <c r="WSX30" s="1"/>
      <c r="WSY30" s="1"/>
      <c r="WSZ30" s="1"/>
      <c r="WTA30" s="1"/>
      <c r="WTB30" s="1"/>
      <c r="WTC30" s="1"/>
      <c r="WTD30" s="1"/>
      <c r="WTE30" s="1"/>
      <c r="WTF30" s="1"/>
      <c r="WTG30" s="1"/>
      <c r="WTH30" s="1"/>
      <c r="WTI30" s="1"/>
      <c r="WTJ30" s="1"/>
      <c r="WTK30" s="1"/>
      <c r="WTL30" s="1"/>
      <c r="WTM30" s="1"/>
      <c r="WTN30" s="1"/>
      <c r="WTO30" s="1"/>
      <c r="WTP30" s="1"/>
      <c r="WTQ30" s="1"/>
      <c r="WTR30" s="1"/>
      <c r="WTS30" s="1"/>
      <c r="WTT30" s="1"/>
      <c r="WTU30" s="1"/>
      <c r="WTV30" s="1"/>
      <c r="WTW30" s="1"/>
      <c r="WTX30" s="1"/>
      <c r="WTY30" s="1"/>
      <c r="WTZ30" s="1"/>
      <c r="WUA30" s="1"/>
      <c r="WUB30" s="1"/>
      <c r="WUC30" s="1"/>
      <c r="WUD30" s="1"/>
      <c r="WUE30" s="1"/>
      <c r="WUF30" s="1"/>
      <c r="WUG30" s="1"/>
      <c r="WUH30" s="1"/>
      <c r="WUI30" s="1"/>
      <c r="WUJ30" s="1"/>
      <c r="WUK30" s="1"/>
      <c r="WUL30" s="1"/>
      <c r="WUM30" s="1"/>
      <c r="WUN30" s="1"/>
      <c r="WUO30" s="1"/>
      <c r="WUP30" s="1"/>
      <c r="WUQ30" s="1"/>
      <c r="WUR30" s="1"/>
      <c r="WUS30" s="1"/>
      <c r="WUT30" s="1"/>
      <c r="WUU30" s="1"/>
      <c r="WUV30" s="1"/>
      <c r="WUW30" s="1"/>
      <c r="WUX30" s="1"/>
      <c r="WUY30" s="1"/>
      <c r="WUZ30" s="1"/>
      <c r="WVA30" s="1"/>
      <c r="WVB30" s="1"/>
      <c r="WVC30" s="1"/>
      <c r="WVD30" s="1"/>
      <c r="WVE30" s="1"/>
      <c r="WVF30" s="1"/>
      <c r="WVG30" s="1"/>
      <c r="WVH30" s="1"/>
      <c r="WVI30" s="1"/>
      <c r="WVJ30" s="1"/>
      <c r="WVK30" s="1"/>
      <c r="WVL30" s="1"/>
      <c r="WVM30" s="1"/>
      <c r="WVN30" s="1"/>
      <c r="WVO30" s="1"/>
      <c r="WVP30" s="1"/>
      <c r="WVQ30" s="1"/>
      <c r="WVR30" s="1"/>
      <c r="WVS30" s="1"/>
      <c r="WVT30" s="1"/>
      <c r="WVU30" s="1"/>
      <c r="WVV30" s="1"/>
      <c r="WVW30" s="1"/>
      <c r="WVX30" s="1"/>
      <c r="WVY30" s="1"/>
      <c r="WVZ30" s="1"/>
      <c r="WWA30" s="1"/>
      <c r="WWB30" s="1"/>
      <c r="WWC30" s="1"/>
      <c r="WWD30" s="1"/>
      <c r="WWE30" s="1"/>
      <c r="WWF30" s="1"/>
      <c r="WWG30" s="1"/>
      <c r="WWH30" s="1"/>
      <c r="WWI30" s="1"/>
      <c r="WWJ30" s="1"/>
      <c r="WWK30" s="1"/>
      <c r="WWL30" s="1"/>
      <c r="WWM30" s="1"/>
      <c r="WWN30" s="1"/>
      <c r="WWO30" s="1"/>
      <c r="WWP30" s="1"/>
      <c r="WWQ30" s="1"/>
      <c r="WWR30" s="1"/>
      <c r="WWS30" s="1"/>
      <c r="WWT30" s="1"/>
      <c r="WWU30" s="1"/>
      <c r="WWV30" s="1"/>
      <c r="WWW30" s="1"/>
      <c r="WWX30" s="1"/>
      <c r="WWY30" s="1"/>
      <c r="WWZ30" s="1"/>
      <c r="WXA30" s="1"/>
      <c r="WXB30" s="1"/>
      <c r="WXC30" s="1"/>
      <c r="WXD30" s="1"/>
      <c r="WXE30" s="1"/>
      <c r="WXF30" s="1"/>
      <c r="WXG30" s="1"/>
      <c r="WXH30" s="1"/>
      <c r="WXI30" s="1"/>
      <c r="WXJ30" s="1"/>
      <c r="WXK30" s="1"/>
      <c r="WXL30" s="1"/>
      <c r="WXM30" s="1"/>
      <c r="WXN30" s="1"/>
      <c r="WXO30" s="1"/>
      <c r="WXP30" s="1"/>
      <c r="WXQ30" s="1"/>
      <c r="WXR30" s="1"/>
      <c r="WXS30" s="1"/>
      <c r="WXT30" s="1"/>
      <c r="WXU30" s="1"/>
      <c r="WXV30" s="1"/>
      <c r="WXW30" s="1"/>
      <c r="WXX30" s="1"/>
      <c r="WXY30" s="1"/>
      <c r="WXZ30" s="1"/>
      <c r="WYA30" s="1"/>
      <c r="WYB30" s="1"/>
      <c r="WYC30" s="1"/>
      <c r="WYD30" s="1"/>
      <c r="WYE30" s="1"/>
      <c r="WYF30" s="1"/>
      <c r="WYG30" s="1"/>
      <c r="WYH30" s="1"/>
      <c r="WYI30" s="1"/>
      <c r="WYJ30" s="1"/>
      <c r="WYK30" s="1"/>
      <c r="WYL30" s="1"/>
      <c r="WYM30" s="1"/>
      <c r="WYN30" s="1"/>
      <c r="WYO30" s="1"/>
      <c r="WYP30" s="1"/>
      <c r="WYQ30" s="1"/>
      <c r="WYR30" s="1"/>
      <c r="WYS30" s="1"/>
      <c r="WYT30" s="1"/>
      <c r="WYU30" s="1"/>
      <c r="WYV30" s="1"/>
      <c r="WYW30" s="1"/>
      <c r="WYX30" s="1"/>
      <c r="WYY30" s="1"/>
      <c r="WYZ30" s="1"/>
      <c r="WZA30" s="1"/>
      <c r="WZB30" s="1"/>
      <c r="WZC30" s="1"/>
      <c r="WZD30" s="1"/>
      <c r="WZE30" s="1"/>
      <c r="WZF30" s="1"/>
      <c r="WZG30" s="1"/>
      <c r="WZH30" s="1"/>
      <c r="WZI30" s="1"/>
      <c r="WZJ30" s="1"/>
      <c r="WZK30" s="1"/>
      <c r="WZL30" s="1"/>
      <c r="WZM30" s="1"/>
      <c r="WZN30" s="1"/>
      <c r="WZO30" s="1"/>
      <c r="WZP30" s="1"/>
      <c r="WZQ30" s="1"/>
      <c r="WZR30" s="1"/>
      <c r="WZS30" s="1"/>
      <c r="WZT30" s="1"/>
      <c r="WZU30" s="1"/>
      <c r="WZV30" s="1"/>
      <c r="WZW30" s="1"/>
      <c r="WZX30" s="1"/>
      <c r="WZY30" s="1"/>
      <c r="WZZ30" s="1"/>
      <c r="XAA30" s="1"/>
      <c r="XAB30" s="1"/>
      <c r="XAC30" s="1"/>
      <c r="XAD30" s="1"/>
      <c r="XAE30" s="1"/>
      <c r="XAF30" s="1"/>
      <c r="XAG30" s="1"/>
      <c r="XAH30" s="1"/>
      <c r="XAI30" s="1"/>
      <c r="XAJ30" s="1"/>
      <c r="XAK30" s="1"/>
      <c r="XAL30" s="1"/>
      <c r="XAM30" s="1"/>
      <c r="XAN30" s="1"/>
      <c r="XAO30" s="1"/>
      <c r="XAP30" s="1"/>
      <c r="XAQ30" s="1"/>
      <c r="XAR30" s="1"/>
      <c r="XAS30" s="1"/>
      <c r="XAT30" s="1"/>
      <c r="XAU30" s="1"/>
      <c r="XAV30" s="1"/>
      <c r="XAW30" s="1"/>
      <c r="XAX30" s="1"/>
      <c r="XAY30" s="1"/>
      <c r="XAZ30" s="1"/>
      <c r="XBA30" s="1"/>
      <c r="XBB30" s="1"/>
      <c r="XBC30" s="1"/>
      <c r="XBD30" s="1"/>
      <c r="XBE30" s="1"/>
      <c r="XBF30" s="1"/>
      <c r="XBG30" s="1"/>
      <c r="XBH30" s="1"/>
      <c r="XBI30" s="1"/>
      <c r="XBJ30" s="1"/>
      <c r="XBK30" s="1"/>
      <c r="XBL30" s="1"/>
      <c r="XBM30" s="1"/>
      <c r="XBN30" s="1"/>
      <c r="XBO30" s="1"/>
      <c r="XBP30" s="1"/>
      <c r="XBQ30" s="1"/>
      <c r="XBR30" s="1"/>
      <c r="XBS30" s="1"/>
      <c r="XBT30" s="1"/>
      <c r="XBU30" s="1"/>
      <c r="XBV30" s="1"/>
      <c r="XBW30" s="1"/>
      <c r="XBX30" s="1"/>
      <c r="XBY30" s="1"/>
      <c r="XBZ30" s="1"/>
      <c r="XCA30" s="1"/>
      <c r="XCB30" s="1"/>
      <c r="XCC30" s="1"/>
      <c r="XCD30" s="1"/>
      <c r="XCE30" s="1"/>
      <c r="XCF30" s="1"/>
      <c r="XCG30" s="1"/>
      <c r="XCH30" s="1"/>
      <c r="XCI30" s="1"/>
      <c r="XCJ30" s="1"/>
      <c r="XCK30" s="1"/>
      <c r="XCL30" s="1"/>
      <c r="XCM30" s="1"/>
      <c r="XCN30" s="1"/>
      <c r="XCO30" s="1"/>
      <c r="XCP30" s="1"/>
      <c r="XCQ30" s="1"/>
      <c r="XCR30" s="1"/>
      <c r="XCS30" s="1"/>
      <c r="XCT30" s="1"/>
      <c r="XCU30" s="1"/>
      <c r="XCV30" s="1"/>
      <c r="XCW30" s="1"/>
      <c r="XCX30" s="1"/>
      <c r="XCY30" s="1"/>
      <c r="XCZ30" s="1"/>
      <c r="XDA30" s="1"/>
      <c r="XDB30" s="1"/>
      <c r="XDC30" s="1"/>
      <c r="XDD30" s="1"/>
      <c r="XDE30" s="1"/>
      <c r="XDF30" s="1"/>
      <c r="XDG30" s="1"/>
      <c r="XDH30" s="1"/>
      <c r="XDI30" s="1"/>
      <c r="XDJ30" s="1"/>
      <c r="XDK30" s="1"/>
      <c r="XDL30" s="1"/>
      <c r="XDM30" s="1"/>
      <c r="XDN30" s="1"/>
      <c r="XDO30" s="1"/>
      <c r="XDP30" s="1"/>
      <c r="XDQ30" s="1"/>
      <c r="XDR30" s="1"/>
      <c r="XDS30" s="1"/>
      <c r="XDT30" s="1"/>
      <c r="XDU30" s="1"/>
      <c r="XDV30" s="1"/>
      <c r="XDW30" s="1"/>
      <c r="XDX30" s="1"/>
      <c r="XDY30" s="1"/>
      <c r="XDZ30" s="1"/>
      <c r="XEA30" s="1"/>
      <c r="XEB30" s="1"/>
      <c r="XEC30" s="1"/>
      <c r="XED30" s="1"/>
      <c r="XEE30" s="1"/>
      <c r="XEF30" s="1"/>
      <c r="XEG30" s="1"/>
      <c r="XEH30" s="1"/>
      <c r="XEI30" s="1"/>
      <c r="XEJ30" s="1"/>
      <c r="XEK30" s="1"/>
      <c r="XEL30" s="1"/>
      <c r="XEM30" s="1"/>
      <c r="XEN30" s="1"/>
      <c r="XEO30" s="1"/>
      <c r="XEP30" s="1"/>
      <c r="XEQ30" s="1"/>
      <c r="XER30" s="1"/>
      <c r="XES30" s="1"/>
      <c r="XET30" s="1"/>
      <c r="XEU30" s="1"/>
      <c r="XEV30" s="1"/>
      <c r="XEW30" s="1"/>
      <c r="XEX30" s="1"/>
      <c r="XEY30" s="1"/>
      <c r="XEZ30" s="1"/>
      <c r="XFA30" s="1"/>
      <c r="XFB30" s="1"/>
    </row>
  </sheetData>
  <mergeCells count="8">
    <mergeCell ref="C15:D15"/>
    <mergeCell ref="B9:B18"/>
    <mergeCell ref="B21:B30"/>
    <mergeCell ref="A9:A30"/>
    <mergeCell ref="A1:I4"/>
    <mergeCell ref="C8:D8"/>
    <mergeCell ref="C9:D9"/>
    <mergeCell ref="C10:D10"/>
  </mergeCell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14D1-373A-410B-98BF-54226E643E24}">
  <sheetPr>
    <tabColor theme="9" tint="0.79998168889431442"/>
  </sheetPr>
  <dimension ref="B3:O49"/>
  <sheetViews>
    <sheetView workbookViewId="0"/>
  </sheetViews>
  <sheetFormatPr baseColWidth="10" defaultColWidth="8.83203125" defaultRowHeight="16" x14ac:dyDescent="0.2"/>
  <cols>
    <col min="1" max="12" width="8.83203125" style="373"/>
    <col min="13" max="13" width="10.33203125" style="373" customWidth="1"/>
    <col min="14" max="16384" width="8.83203125" style="373"/>
  </cols>
  <sheetData>
    <row r="3" spans="2:15" ht="25.75" customHeight="1" x14ac:dyDescent="0.2">
      <c r="B3" s="1191" t="s">
        <v>1184</v>
      </c>
      <c r="C3" s="1191"/>
      <c r="D3" s="1191"/>
      <c r="E3" s="1191"/>
      <c r="F3" s="1191"/>
      <c r="G3" s="1191"/>
      <c r="H3" s="1191"/>
      <c r="I3" s="1191"/>
      <c r="J3" s="1191"/>
      <c r="K3" s="1191"/>
      <c r="L3" s="1191"/>
      <c r="M3" s="1191"/>
      <c r="N3" s="1191"/>
      <c r="O3" s="1191"/>
    </row>
    <row r="5" spans="2:15" ht="15.5" customHeight="1" x14ac:dyDescent="0.2">
      <c r="B5" s="1194" t="s">
        <v>1185</v>
      </c>
      <c r="C5" s="1194"/>
      <c r="D5" s="1194"/>
      <c r="E5" s="1194"/>
      <c r="F5" s="1194"/>
      <c r="G5" s="1194"/>
      <c r="H5" s="1194"/>
      <c r="I5" s="1194"/>
      <c r="J5" s="1194"/>
      <c r="K5" s="1194"/>
      <c r="L5" s="1194"/>
      <c r="M5" s="1194"/>
      <c r="N5" s="1194"/>
      <c r="O5" s="1194"/>
    </row>
    <row r="6" spans="2:15" x14ac:dyDescent="0.2">
      <c r="B6" s="1194"/>
      <c r="C6" s="1194"/>
      <c r="D6" s="1194"/>
      <c r="E6" s="1194"/>
      <c r="F6" s="1194"/>
      <c r="G6" s="1194"/>
      <c r="H6" s="1194"/>
      <c r="I6" s="1194"/>
      <c r="J6" s="1194"/>
      <c r="K6" s="1194"/>
      <c r="L6" s="1194"/>
      <c r="M6" s="1194"/>
      <c r="N6" s="1194"/>
      <c r="O6" s="1194"/>
    </row>
    <row r="23" spans="2:15" ht="27.5" customHeight="1" x14ac:dyDescent="0.2">
      <c r="B23" s="1191" t="s">
        <v>1186</v>
      </c>
      <c r="C23" s="1191"/>
      <c r="D23" s="1191"/>
      <c r="E23" s="1191"/>
      <c r="F23" s="1191"/>
      <c r="G23" s="1191"/>
      <c r="H23" s="1191"/>
      <c r="I23" s="1191"/>
      <c r="J23" s="1191"/>
      <c r="K23" s="1191"/>
      <c r="L23" s="1191"/>
      <c r="M23" s="1191"/>
      <c r="N23" s="1191"/>
      <c r="O23" s="1191"/>
    </row>
    <row r="25" spans="2:15" x14ac:dyDescent="0.2">
      <c r="B25" s="1194" t="s">
        <v>1187</v>
      </c>
      <c r="C25" s="1194"/>
      <c r="D25" s="1194"/>
      <c r="E25" s="1194"/>
      <c r="F25" s="1194"/>
      <c r="G25" s="1194"/>
      <c r="H25" s="1194"/>
      <c r="I25" s="1194"/>
      <c r="J25" s="1194"/>
      <c r="K25" s="1194"/>
      <c r="L25" s="1194"/>
      <c r="M25" s="1194"/>
      <c r="N25" s="1194"/>
      <c r="O25" s="1194"/>
    </row>
    <row r="26" spans="2:15" x14ac:dyDescent="0.2">
      <c r="B26" s="1194"/>
      <c r="C26" s="1194"/>
      <c r="D26" s="1194"/>
      <c r="E26" s="1194"/>
      <c r="F26" s="1194"/>
      <c r="G26" s="1194"/>
      <c r="H26" s="1194"/>
      <c r="I26" s="1194"/>
      <c r="J26" s="1194"/>
      <c r="K26" s="1194"/>
      <c r="L26" s="1194"/>
      <c r="M26" s="1194"/>
      <c r="N26" s="1194"/>
      <c r="O26" s="1194"/>
    </row>
    <row r="44" spans="2:15" ht="24.5" customHeight="1" x14ac:dyDescent="0.2">
      <c r="B44" s="1191" t="s">
        <v>1188</v>
      </c>
      <c r="C44" s="1191"/>
      <c r="D44" s="1191"/>
      <c r="E44" s="1191"/>
      <c r="F44" s="1191"/>
      <c r="G44" s="1191"/>
      <c r="H44" s="1191"/>
      <c r="I44" s="1191"/>
      <c r="J44" s="1191"/>
      <c r="K44" s="1191"/>
      <c r="L44" s="1191"/>
      <c r="M44" s="1191"/>
      <c r="N44" s="1191"/>
      <c r="O44" s="1191"/>
    </row>
    <row r="46" spans="2:15" x14ac:dyDescent="0.2">
      <c r="B46" s="1192" t="s">
        <v>1189</v>
      </c>
      <c r="C46" s="1192"/>
      <c r="D46" s="1192"/>
      <c r="E46" s="1192"/>
      <c r="F46" s="1192"/>
      <c r="G46" s="1192"/>
      <c r="H46" s="1192"/>
      <c r="I46" s="1192"/>
      <c r="J46" s="1192"/>
      <c r="K46" s="1192"/>
      <c r="L46" s="1192"/>
      <c r="M46" s="1192"/>
      <c r="N46" s="1192"/>
      <c r="O46" s="1192"/>
    </row>
    <row r="47" spans="2:15" x14ac:dyDescent="0.2">
      <c r="B47" s="1192"/>
      <c r="C47" s="1192"/>
      <c r="D47" s="1192"/>
      <c r="E47" s="1192"/>
      <c r="F47" s="1192"/>
      <c r="G47" s="1192"/>
      <c r="H47" s="1192"/>
      <c r="I47" s="1192"/>
      <c r="J47" s="1192"/>
      <c r="K47" s="1192"/>
      <c r="L47" s="1192"/>
      <c r="M47" s="1192"/>
      <c r="N47" s="1192"/>
      <c r="O47" s="1192"/>
    </row>
    <row r="49" spans="11:14" ht="21" customHeight="1" x14ac:dyDescent="0.2">
      <c r="K49" s="1193" t="s">
        <v>1190</v>
      </c>
      <c r="L49" s="1193"/>
      <c r="M49" s="868" t="s">
        <v>1191</v>
      </c>
      <c r="N49" s="375" t="str">
        <f>+M49&amp;" Export"</f>
        <v>Chile Export</v>
      </c>
    </row>
  </sheetData>
  <mergeCells count="7">
    <mergeCell ref="B44:O44"/>
    <mergeCell ref="B46:O47"/>
    <mergeCell ref="K49:L49"/>
    <mergeCell ref="B3:O3"/>
    <mergeCell ref="B23:O23"/>
    <mergeCell ref="B5:O6"/>
    <mergeCell ref="B25:O26"/>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CDF82F4-7551-4ADF-8798-29D47E774FEE}">
          <x14:formula1>
            <xm:f>Cargo!$B$52:$B$57</xm:f>
          </x14:formula1>
          <xm:sqref>M49</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7BB55-7467-4186-ADB2-5894CCE28B9D}">
  <sheetPr>
    <tabColor theme="9" tint="0.79998168889431442"/>
  </sheetPr>
  <dimension ref="A2:AW94"/>
  <sheetViews>
    <sheetView zoomScale="75" workbookViewId="0"/>
  </sheetViews>
  <sheetFormatPr baseColWidth="10" defaultColWidth="8.83203125" defaultRowHeight="16" x14ac:dyDescent="0.2"/>
  <cols>
    <col min="1" max="1" width="4.83203125" style="251" bestFit="1" customWidth="1"/>
    <col min="2" max="2" width="28" style="251" bestFit="1" customWidth="1"/>
    <col min="3" max="3" width="9.83203125" style="251" customWidth="1"/>
    <col min="4" max="4" width="10" style="251" bestFit="1" customWidth="1"/>
    <col min="5" max="5" width="10.6640625" style="251" bestFit="1" customWidth="1"/>
    <col min="6" max="25" width="8.33203125" style="251" bestFit="1" customWidth="1"/>
    <col min="26" max="26" width="9.1640625" style="251" bestFit="1" customWidth="1"/>
    <col min="27" max="36" width="8.33203125" style="251" bestFit="1" customWidth="1"/>
    <col min="37" max="45" width="8.1640625" style="251" bestFit="1" customWidth="1"/>
    <col min="46" max="16384" width="8.83203125" style="251"/>
  </cols>
  <sheetData>
    <row r="2" spans="1:19" x14ac:dyDescent="0.2">
      <c r="B2" s="1196" t="s">
        <v>1192</v>
      </c>
      <c r="C2" s="1198" t="s">
        <v>1193</v>
      </c>
      <c r="D2" s="1198"/>
      <c r="E2" s="1198"/>
      <c r="F2" s="1198"/>
      <c r="G2" s="1198"/>
      <c r="H2" s="1198"/>
      <c r="I2" s="1198"/>
      <c r="J2" s="1198"/>
      <c r="K2" s="1198"/>
      <c r="L2" s="1198"/>
      <c r="M2" s="1198"/>
      <c r="N2" s="1198"/>
      <c r="O2" s="1198"/>
    </row>
    <row r="3" spans="1:19" x14ac:dyDescent="0.2">
      <c r="B3" s="1196"/>
      <c r="C3" s="1198"/>
      <c r="D3" s="1198"/>
      <c r="E3" s="1198"/>
      <c r="F3" s="1198"/>
      <c r="G3" s="1198"/>
      <c r="H3" s="1198"/>
      <c r="I3" s="1198"/>
      <c r="J3" s="1198"/>
      <c r="K3" s="1198"/>
      <c r="L3" s="1198"/>
      <c r="M3" s="1198"/>
      <c r="N3" s="1198"/>
      <c r="O3" s="1198"/>
    </row>
    <row r="4" spans="1:19" x14ac:dyDescent="0.2">
      <c r="B4" s="1196" t="s">
        <v>1194</v>
      </c>
      <c r="C4" s="1198" t="s">
        <v>1195</v>
      </c>
      <c r="D4" s="1198"/>
      <c r="E4" s="1198"/>
      <c r="F4" s="1198"/>
      <c r="G4" s="1198"/>
      <c r="H4" s="1198"/>
      <c r="I4" s="1198"/>
      <c r="J4" s="1198"/>
      <c r="K4" s="1198"/>
      <c r="L4" s="1198"/>
      <c r="M4" s="1198"/>
      <c r="N4" s="1198"/>
      <c r="O4" s="1198"/>
    </row>
    <row r="5" spans="1:19" x14ac:dyDescent="0.2">
      <c r="B5" s="1196"/>
      <c r="C5" s="1198"/>
      <c r="D5" s="1198"/>
      <c r="E5" s="1198"/>
      <c r="F5" s="1198"/>
      <c r="G5" s="1198"/>
      <c r="H5" s="1198"/>
      <c r="I5" s="1198"/>
      <c r="J5" s="1198"/>
      <c r="K5" s="1198"/>
      <c r="L5" s="1198"/>
      <c r="M5" s="1198"/>
      <c r="N5" s="1198"/>
      <c r="O5" s="1198"/>
    </row>
    <row r="6" spans="1:19" ht="16" customHeight="1" x14ac:dyDescent="0.2">
      <c r="B6" s="1196" t="s">
        <v>1194</v>
      </c>
      <c r="C6" s="1198" t="s">
        <v>1196</v>
      </c>
      <c r="D6" s="1198"/>
      <c r="E6" s="1198"/>
      <c r="F6" s="1198"/>
      <c r="G6" s="1198"/>
      <c r="H6" s="1198"/>
      <c r="I6" s="1198"/>
      <c r="J6" s="1198"/>
      <c r="K6" s="1198"/>
      <c r="L6" s="1198"/>
      <c r="M6" s="1198"/>
      <c r="N6" s="1198"/>
      <c r="O6" s="1198"/>
    </row>
    <row r="7" spans="1:19" ht="16" customHeight="1" x14ac:dyDescent="0.2">
      <c r="B7" s="1196"/>
      <c r="C7" s="1198"/>
      <c r="D7" s="1198"/>
      <c r="E7" s="1198"/>
      <c r="F7" s="1198"/>
      <c r="G7" s="1198"/>
      <c r="H7" s="1198"/>
      <c r="I7" s="1198"/>
      <c r="J7" s="1198"/>
      <c r="K7" s="1198"/>
      <c r="L7" s="1198"/>
      <c r="M7" s="1198"/>
      <c r="N7" s="1198"/>
      <c r="O7" s="1198"/>
    </row>
    <row r="8" spans="1:19" x14ac:dyDescent="0.2">
      <c r="B8" s="374"/>
      <c r="C8" s="346"/>
      <c r="D8" s="346"/>
      <c r="E8" s="346"/>
      <c r="F8" s="346"/>
      <c r="G8" s="346"/>
      <c r="H8" s="346"/>
      <c r="I8" s="346"/>
      <c r="J8" s="346"/>
      <c r="K8" s="346"/>
      <c r="L8" s="346"/>
      <c r="M8" s="449"/>
    </row>
    <row r="9" spans="1:19" x14ac:dyDescent="0.2">
      <c r="A9" s="1197" t="s">
        <v>1197</v>
      </c>
      <c r="B9" s="1197"/>
      <c r="C9" s="381" t="s">
        <v>675</v>
      </c>
      <c r="D9" s="111">
        <v>2019</v>
      </c>
      <c r="E9" s="113">
        <v>2020</v>
      </c>
      <c r="F9" s="113">
        <v>2021</v>
      </c>
      <c r="G9" s="113">
        <v>2022</v>
      </c>
      <c r="H9" s="113">
        <v>2023</v>
      </c>
      <c r="I9" s="113">
        <v>2024</v>
      </c>
      <c r="J9" s="113">
        <v>2025</v>
      </c>
      <c r="K9" s="113">
        <v>2026</v>
      </c>
      <c r="L9" s="427">
        <v>2027</v>
      </c>
      <c r="M9" s="393"/>
      <c r="N9" s="393"/>
      <c r="O9" s="393"/>
    </row>
    <row r="10" spans="1:19" x14ac:dyDescent="0.2">
      <c r="A10" s="1197"/>
      <c r="B10" s="1197"/>
      <c r="C10" s="342"/>
      <c r="D10" s="343"/>
      <c r="E10" s="343"/>
      <c r="F10" s="343"/>
      <c r="G10" s="343"/>
      <c r="H10" s="343"/>
      <c r="I10" s="343"/>
      <c r="J10" s="343"/>
      <c r="K10" s="343"/>
      <c r="L10" s="343"/>
      <c r="M10" s="394"/>
      <c r="N10" s="394"/>
      <c r="O10" s="394"/>
    </row>
    <row r="11" spans="1:19" x14ac:dyDescent="0.2">
      <c r="I11" s="434"/>
    </row>
    <row r="12" spans="1:19" x14ac:dyDescent="0.2">
      <c r="A12" s="345"/>
      <c r="B12" s="358" t="s">
        <v>1198</v>
      </c>
      <c r="C12" s="347"/>
      <c r="D12" s="348">
        <v>11</v>
      </c>
      <c r="E12" s="348">
        <v>12</v>
      </c>
      <c r="F12" s="348">
        <v>12</v>
      </c>
      <c r="G12" s="348">
        <v>16</v>
      </c>
      <c r="H12" s="348">
        <v>19</v>
      </c>
      <c r="I12" s="348">
        <f>22-2</f>
        <v>20</v>
      </c>
      <c r="J12" s="368">
        <v>20</v>
      </c>
      <c r="K12" s="368">
        <v>19</v>
      </c>
      <c r="L12" s="368">
        <v>19</v>
      </c>
      <c r="M12" s="395"/>
      <c r="N12" s="395"/>
      <c r="O12" s="395"/>
    </row>
    <row r="13" spans="1:19" x14ac:dyDescent="0.2">
      <c r="A13" s="345"/>
      <c r="B13" s="358" t="s">
        <v>711</v>
      </c>
      <c r="C13" s="347" t="s">
        <v>700</v>
      </c>
      <c r="D13" s="392">
        <v>6356.6696767127796</v>
      </c>
      <c r="E13" s="428">
        <v>4708.2547560331859</v>
      </c>
      <c r="F13" s="428">
        <v>4788.0802441418355</v>
      </c>
      <c r="G13" s="428">
        <f>+$F$13*(1+G14)</f>
        <v>6583.6103356950234</v>
      </c>
      <c r="H13" s="428">
        <f>+$F$13*(1+H14)</f>
        <v>7930.2579043599153</v>
      </c>
      <c r="I13" s="428">
        <f>+$F$13*(1+I14)</f>
        <v>8379.1404272482123</v>
      </c>
      <c r="J13" s="368">
        <f>+I13*(1+$J15)</f>
        <v>8659.8416315610284</v>
      </c>
      <c r="K13" s="368">
        <f>+J13*(1+$J15)*(K12/20)</f>
        <v>8502.4490099074064</v>
      </c>
      <c r="L13" s="368">
        <f>+K13*(1+$J15)</f>
        <v>8787.2810517393045</v>
      </c>
      <c r="N13" s="395"/>
      <c r="O13" s="395"/>
      <c r="P13" s="395"/>
      <c r="Q13" s="368"/>
      <c r="R13" s="368"/>
      <c r="S13" s="368"/>
    </row>
    <row r="14" spans="1:19" x14ac:dyDescent="0.2">
      <c r="A14" s="345"/>
      <c r="B14" s="435" t="s">
        <v>1199</v>
      </c>
      <c r="C14" s="347"/>
      <c r="D14" s="392"/>
      <c r="E14" s="429"/>
      <c r="F14" s="432"/>
      <c r="G14" s="430">
        <f>0.75*(4/8)</f>
        <v>0.375</v>
      </c>
      <c r="H14" s="430">
        <f>0.75*(7/8)</f>
        <v>0.65625</v>
      </c>
      <c r="I14" s="430">
        <f>0.75*(8/8)</f>
        <v>0.75</v>
      </c>
      <c r="J14" s="431"/>
      <c r="K14" s="431"/>
      <c r="L14" s="431"/>
      <c r="M14" s="395"/>
      <c r="N14" s="395"/>
      <c r="O14" s="395"/>
    </row>
    <row r="15" spans="1:19" x14ac:dyDescent="0.2">
      <c r="A15" s="345"/>
      <c r="B15" s="435" t="s">
        <v>797</v>
      </c>
      <c r="C15" s="347"/>
      <c r="D15" s="392"/>
      <c r="E15" s="429">
        <f>+E13/D13-1</f>
        <v>-0.25932052545037032</v>
      </c>
      <c r="F15" s="432">
        <f>+F13/E13-1</f>
        <v>1.6954368921171969E-2</v>
      </c>
      <c r="G15" s="362">
        <f>+G13/F13-1</f>
        <v>0.375</v>
      </c>
      <c r="H15" s="362">
        <f>+H13/G13-1</f>
        <v>0.20454545454545459</v>
      </c>
      <c r="I15" s="362">
        <f>+I13/H13-1</f>
        <v>5.6603773584905648E-2</v>
      </c>
      <c r="J15" s="450">
        <v>3.3500000000000002E-2</v>
      </c>
      <c r="K15" s="450">
        <v>3.3500000000000002E-2</v>
      </c>
      <c r="L15" s="450">
        <v>3.3500000000000002E-2</v>
      </c>
      <c r="M15" s="395"/>
      <c r="N15" s="395"/>
      <c r="O15" s="395"/>
    </row>
    <row r="16" spans="1:19" x14ac:dyDescent="0.2">
      <c r="A16" s="345"/>
      <c r="B16" s="358" t="s">
        <v>1200</v>
      </c>
      <c r="C16" s="347"/>
      <c r="D16" s="445">
        <v>0.55469020114944201</v>
      </c>
      <c r="E16" s="446">
        <v>0.65369858974102923</v>
      </c>
      <c r="F16" s="446">
        <v>0.63383686357762181</v>
      </c>
      <c r="G16" s="447">
        <f>+AVERAGE($D$28:$S$28)</f>
        <v>0.59150095078888021</v>
      </c>
      <c r="H16" s="447">
        <f>+AVERAGE($D$28:$S$28)</f>
        <v>0.59150095078888021</v>
      </c>
      <c r="I16" s="447">
        <f>+AVERAGE(H16,J16)</f>
        <v>0.57814412400455484</v>
      </c>
      <c r="J16" s="447">
        <f>+AVERAGE($D$28:$AI$28)</f>
        <v>0.56478729722022947</v>
      </c>
      <c r="K16" s="447">
        <f>+AVERAGE($D$28:$AI$28)</f>
        <v>0.56478729722022947</v>
      </c>
      <c r="L16" s="447">
        <f>+AVERAGE($D$28:$AI$28)</f>
        <v>0.56478729722022947</v>
      </c>
      <c r="M16" s="395"/>
      <c r="N16" s="395"/>
      <c r="O16" s="395"/>
    </row>
    <row r="17" spans="1:49" x14ac:dyDescent="0.2">
      <c r="A17" s="345"/>
      <c r="B17" s="358" t="s">
        <v>918</v>
      </c>
      <c r="C17" s="347" t="s">
        <v>700</v>
      </c>
      <c r="D17" s="392">
        <f t="shared" ref="D17:L17" si="0">+D13*D16</f>
        <v>3525.9823816163703</v>
      </c>
      <c r="E17" s="428">
        <f t="shared" si="0"/>
        <v>3077.7794941603875</v>
      </c>
      <c r="F17" s="428">
        <f t="shared" si="0"/>
        <v>3034.8617645048348</v>
      </c>
      <c r="G17" s="428">
        <f t="shared" si="0"/>
        <v>3894.2117731871053</v>
      </c>
      <c r="H17" s="428">
        <f t="shared" si="0"/>
        <v>4690.7550904299223</v>
      </c>
      <c r="I17" s="428">
        <f t="shared" si="0"/>
        <v>4844.3508022225687</v>
      </c>
      <c r="J17" s="368">
        <f t="shared" si="0"/>
        <v>4890.9685494445757</v>
      </c>
      <c r="K17" s="368">
        <f t="shared" si="0"/>
        <v>4802.0751960584203</v>
      </c>
      <c r="L17" s="368">
        <f t="shared" si="0"/>
        <v>4962.9447151263776</v>
      </c>
      <c r="M17" s="395"/>
      <c r="N17" s="395"/>
      <c r="O17" s="395"/>
    </row>
    <row r="18" spans="1:49" x14ac:dyDescent="0.2">
      <c r="A18" s="345"/>
      <c r="B18" s="435" t="s">
        <v>797</v>
      </c>
      <c r="C18" s="347"/>
      <c r="D18" s="445"/>
      <c r="E18" s="446">
        <f t="shared" ref="E18:L18" si="1">+E17/D17-1</f>
        <v>-0.12711432983692872</v>
      </c>
      <c r="F18" s="446">
        <f t="shared" si="1"/>
        <v>-1.394438092039485E-2</v>
      </c>
      <c r="G18" s="446">
        <f t="shared" si="1"/>
        <v>0.28315952269492617</v>
      </c>
      <c r="H18" s="446">
        <f t="shared" si="1"/>
        <v>0.20454545454545459</v>
      </c>
      <c r="I18" s="446">
        <f t="shared" si="1"/>
        <v>3.2744346876265595E-2</v>
      </c>
      <c r="J18" s="446">
        <f t="shared" si="1"/>
        <v>9.6231154854886647E-3</v>
      </c>
      <c r="K18" s="446">
        <f t="shared" si="1"/>
        <v>-1.8175000000000052E-2</v>
      </c>
      <c r="L18" s="446">
        <f t="shared" si="1"/>
        <v>3.3500000000000085E-2</v>
      </c>
      <c r="M18" s="395"/>
      <c r="N18" s="395"/>
      <c r="O18" s="395"/>
    </row>
    <row r="19" spans="1:49" x14ac:dyDescent="0.2">
      <c r="A19" s="376"/>
      <c r="B19" s="377"/>
      <c r="C19" s="378"/>
      <c r="D19" s="377"/>
      <c r="E19" s="377"/>
      <c r="F19" s="377"/>
      <c r="G19" s="377"/>
      <c r="H19" s="377"/>
      <c r="I19" s="377"/>
      <c r="J19" s="377"/>
      <c r="K19" s="377"/>
      <c r="L19" s="379"/>
      <c r="M19" s="379"/>
      <c r="N19" s="379"/>
      <c r="O19" s="379"/>
      <c r="P19" s="379"/>
      <c r="Q19" s="379"/>
      <c r="R19" s="379"/>
      <c r="S19" s="379"/>
      <c r="T19" s="379"/>
      <c r="U19" s="379"/>
      <c r="V19" s="379"/>
      <c r="W19" s="379"/>
      <c r="X19" s="379"/>
      <c r="Y19" s="379"/>
      <c r="Z19" s="379"/>
      <c r="AA19" s="379"/>
      <c r="AB19" s="379"/>
      <c r="AC19" s="379"/>
      <c r="AD19" s="379"/>
      <c r="AE19" s="379"/>
      <c r="AF19" s="379"/>
      <c r="AG19" s="379"/>
      <c r="AH19" s="379"/>
      <c r="AI19" s="379"/>
      <c r="AJ19" s="379"/>
      <c r="AK19" s="379"/>
      <c r="AL19" s="379"/>
      <c r="AM19" s="379"/>
      <c r="AN19" s="379"/>
      <c r="AO19" s="436"/>
      <c r="AP19" s="436"/>
      <c r="AQ19" s="436"/>
      <c r="AR19" s="379"/>
      <c r="AS19" s="379"/>
    </row>
    <row r="20" spans="1:49" x14ac:dyDescent="0.2">
      <c r="B20" s="358"/>
      <c r="C20" s="347"/>
      <c r="D20" s="358"/>
      <c r="E20" s="358"/>
      <c r="F20" s="358"/>
      <c r="G20" s="358"/>
      <c r="H20" s="358"/>
      <c r="I20" s="358"/>
      <c r="J20" s="358"/>
      <c r="K20" s="358"/>
      <c r="L20" s="356"/>
      <c r="M20" s="356"/>
      <c r="N20" s="356"/>
      <c r="O20" s="356"/>
      <c r="P20" s="356"/>
      <c r="Q20" s="356"/>
      <c r="R20" s="356"/>
      <c r="S20" s="356"/>
      <c r="T20" s="356"/>
      <c r="U20" s="356"/>
      <c r="V20" s="356"/>
      <c r="W20" s="356"/>
      <c r="X20" s="356"/>
      <c r="Y20" s="356"/>
      <c r="Z20" s="356"/>
      <c r="AA20" s="356"/>
      <c r="AB20" s="356"/>
      <c r="AC20" s="356"/>
      <c r="AD20" s="356"/>
      <c r="AE20" s="356"/>
      <c r="AF20" s="356"/>
      <c r="AG20" s="356"/>
      <c r="AH20" s="356"/>
      <c r="AI20" s="356"/>
      <c r="AJ20" s="356"/>
      <c r="AK20" s="356"/>
      <c r="AL20" s="356"/>
      <c r="AM20" s="356"/>
      <c r="AN20" s="356"/>
      <c r="AO20" s="437"/>
      <c r="AP20" s="437"/>
      <c r="AQ20" s="437"/>
      <c r="AR20" s="356"/>
      <c r="AS20" s="356"/>
    </row>
    <row r="21" spans="1:49" x14ac:dyDescent="0.2">
      <c r="B21" s="358"/>
      <c r="C21" s="347"/>
      <c r="D21" s="358"/>
      <c r="E21" s="358"/>
      <c r="F21" s="358"/>
      <c r="G21" s="358"/>
      <c r="H21" s="358"/>
      <c r="I21" s="358"/>
      <c r="J21" s="358"/>
      <c r="K21" s="358"/>
      <c r="L21" s="356"/>
      <c r="M21" s="356"/>
      <c r="N21" s="356"/>
      <c r="O21" s="356"/>
      <c r="P21" s="356"/>
      <c r="Q21" s="356"/>
      <c r="R21" s="356"/>
      <c r="S21" s="356"/>
      <c r="T21" s="356"/>
      <c r="U21" s="356"/>
      <c r="V21" s="356"/>
      <c r="W21" s="356"/>
      <c r="X21" s="356"/>
      <c r="Y21" s="356"/>
      <c r="Z21" s="356"/>
      <c r="AA21" s="356"/>
      <c r="AB21" s="356"/>
      <c r="AC21" s="356"/>
      <c r="AD21" s="356"/>
      <c r="AE21" s="356"/>
      <c r="AF21" s="356"/>
      <c r="AG21" s="356"/>
      <c r="AH21" s="356"/>
      <c r="AI21" s="356"/>
      <c r="AJ21" s="356"/>
      <c r="AK21" s="356"/>
      <c r="AL21" s="356"/>
      <c r="AM21" s="356"/>
      <c r="AN21" s="356"/>
      <c r="AO21" s="437"/>
      <c r="AP21" s="437"/>
      <c r="AQ21" s="437"/>
      <c r="AR21" s="356"/>
      <c r="AS21" s="356"/>
    </row>
    <row r="22" spans="1:49" x14ac:dyDescent="0.2">
      <c r="B22" s="1196" t="s">
        <v>1201</v>
      </c>
      <c r="C22" s="1195" t="s">
        <v>1202</v>
      </c>
      <c r="D22" s="1195"/>
      <c r="E22" s="1195"/>
      <c r="F22" s="1195"/>
      <c r="G22" s="1195"/>
      <c r="H22" s="1195"/>
      <c r="I22" s="1195"/>
      <c r="J22" s="1195"/>
      <c r="K22" s="1195"/>
      <c r="L22" s="1195"/>
      <c r="M22" s="1195"/>
    </row>
    <row r="23" spans="1:49" x14ac:dyDescent="0.2">
      <c r="B23" s="1196"/>
      <c r="C23" s="1195" t="s">
        <v>1203</v>
      </c>
      <c r="D23" s="1195"/>
      <c r="E23" s="1195"/>
      <c r="F23" s="1195"/>
      <c r="G23" s="1195"/>
      <c r="H23" s="1195"/>
      <c r="I23" s="1195"/>
      <c r="J23" s="1195"/>
      <c r="K23" s="1195"/>
      <c r="L23" s="1195"/>
      <c r="M23" s="1195"/>
    </row>
    <row r="25" spans="1:49" x14ac:dyDescent="0.2">
      <c r="A25" s="1197" t="s">
        <v>9</v>
      </c>
      <c r="B25" s="1199"/>
      <c r="C25" s="381" t="s">
        <v>675</v>
      </c>
      <c r="D25" s="109" t="s">
        <v>681</v>
      </c>
      <c r="E25" s="109" t="s">
        <v>682</v>
      </c>
      <c r="F25" s="109" t="s">
        <v>683</v>
      </c>
      <c r="G25" s="109" t="s">
        <v>684</v>
      </c>
      <c r="H25" s="109" t="s">
        <v>619</v>
      </c>
      <c r="I25" s="109" t="s">
        <v>620</v>
      </c>
      <c r="J25" s="109" t="s">
        <v>621</v>
      </c>
      <c r="K25" s="109" t="s">
        <v>622</v>
      </c>
      <c r="L25" s="109" t="s">
        <v>623</v>
      </c>
      <c r="M25" s="109" t="s">
        <v>624</v>
      </c>
      <c r="N25" s="109" t="s">
        <v>625</v>
      </c>
      <c r="O25" s="109" t="s">
        <v>626</v>
      </c>
      <c r="P25" s="109" t="s">
        <v>627</v>
      </c>
      <c r="Q25" s="109" t="s">
        <v>628</v>
      </c>
      <c r="R25" s="109" t="s">
        <v>629</v>
      </c>
      <c r="S25" s="109" t="s">
        <v>630</v>
      </c>
      <c r="T25" s="109" t="s">
        <v>631</v>
      </c>
      <c r="U25" s="109" t="s">
        <v>632</v>
      </c>
      <c r="V25" s="109" t="s">
        <v>633</v>
      </c>
      <c r="W25" s="109" t="s">
        <v>634</v>
      </c>
      <c r="X25" s="109" t="s">
        <v>635</v>
      </c>
      <c r="Y25" s="109" t="s">
        <v>636</v>
      </c>
      <c r="Z25" s="109" t="s">
        <v>637</v>
      </c>
      <c r="AA25" s="109" t="s">
        <v>638</v>
      </c>
      <c r="AB25" s="109" t="s">
        <v>639</v>
      </c>
      <c r="AC25" s="109" t="s">
        <v>640</v>
      </c>
      <c r="AD25" s="109" t="s">
        <v>641</v>
      </c>
      <c r="AE25" s="109" t="s">
        <v>642</v>
      </c>
      <c r="AF25" s="109" t="s">
        <v>643</v>
      </c>
      <c r="AG25" s="109" t="s">
        <v>644</v>
      </c>
      <c r="AH25" s="109" t="s">
        <v>645</v>
      </c>
      <c r="AI25" s="109" t="s">
        <v>646</v>
      </c>
      <c r="AJ25" s="109" t="s">
        <v>647</v>
      </c>
      <c r="AK25" s="112" t="s">
        <v>648</v>
      </c>
      <c r="AL25" s="112" t="s">
        <v>649</v>
      </c>
      <c r="AM25" s="112" t="s">
        <v>650</v>
      </c>
      <c r="AN25" s="109" t="s">
        <v>651</v>
      </c>
      <c r="AO25" s="109" t="s">
        <v>652</v>
      </c>
      <c r="AP25" s="109" t="s">
        <v>653</v>
      </c>
      <c r="AQ25" s="112" t="s">
        <v>654</v>
      </c>
      <c r="AR25" s="112" t="s">
        <v>655</v>
      </c>
      <c r="AS25" s="112" t="s">
        <v>656</v>
      </c>
    </row>
    <row r="26" spans="1:49" x14ac:dyDescent="0.2">
      <c r="A26" s="1200"/>
      <c r="B26" s="1201"/>
      <c r="C26" s="342"/>
      <c r="D26" s="343"/>
      <c r="E26" s="343"/>
      <c r="F26" s="343"/>
      <c r="G26" s="343"/>
      <c r="H26" s="343"/>
      <c r="I26" s="343"/>
      <c r="J26" s="343"/>
      <c r="K26" s="343"/>
      <c r="L26" s="343"/>
      <c r="M26" s="343"/>
      <c r="N26" s="343"/>
      <c r="O26" s="343"/>
      <c r="P26" s="343"/>
      <c r="Q26" s="343"/>
      <c r="R26" s="343"/>
      <c r="S26" s="343"/>
      <c r="T26" s="343"/>
      <c r="U26" s="343"/>
      <c r="V26" s="343"/>
      <c r="W26" s="343"/>
      <c r="X26" s="343"/>
      <c r="Y26" s="343"/>
      <c r="Z26" s="343"/>
      <c r="AA26" s="343"/>
      <c r="AB26" s="343"/>
      <c r="AC26" s="343"/>
      <c r="AD26" s="343"/>
      <c r="AE26" s="343"/>
      <c r="AF26" s="343"/>
      <c r="AG26" s="343"/>
      <c r="AH26" s="343"/>
      <c r="AI26" s="343"/>
      <c r="AJ26" s="343"/>
      <c r="AK26" s="343"/>
      <c r="AL26" s="343"/>
      <c r="AM26" s="343"/>
      <c r="AN26" s="343"/>
      <c r="AO26" s="344"/>
      <c r="AP26" s="344"/>
      <c r="AQ26" s="344"/>
      <c r="AR26" s="343"/>
      <c r="AS26" s="343"/>
    </row>
    <row r="27" spans="1:49" x14ac:dyDescent="0.2">
      <c r="A27" s="345"/>
      <c r="B27" s="358" t="s">
        <v>711</v>
      </c>
      <c r="C27" s="347" t="s">
        <v>700</v>
      </c>
      <c r="D27" s="368">
        <v>1885.0285595446069</v>
      </c>
      <c r="E27" s="368">
        <v>1847.7965107501025</v>
      </c>
      <c r="F27" s="368">
        <v>1862.7511404954494</v>
      </c>
      <c r="G27" s="368">
        <v>2050.3688495567148</v>
      </c>
      <c r="H27" s="368">
        <v>1957.0936171875001</v>
      </c>
      <c r="I27" s="368">
        <v>1906.9763470629332</v>
      </c>
      <c r="J27" s="368">
        <v>1864.1814619050751</v>
      </c>
      <c r="K27" s="368">
        <v>1923.6293798479865</v>
      </c>
      <c r="L27" s="368">
        <v>1827.5360964174497</v>
      </c>
      <c r="M27" s="368">
        <v>1763.0738750860598</v>
      </c>
      <c r="N27" s="368">
        <v>1774.00563558403</v>
      </c>
      <c r="O27" s="368">
        <v>1855.0970498923059</v>
      </c>
      <c r="P27" s="368">
        <v>1767.4547019910285</v>
      </c>
      <c r="Q27" s="368">
        <v>1739.8600777561123</v>
      </c>
      <c r="R27" s="368">
        <v>1765.2339567227036</v>
      </c>
      <c r="S27" s="368">
        <v>1810.2102124100002</v>
      </c>
      <c r="T27" s="368">
        <v>1707.0333090240001</v>
      </c>
      <c r="U27" s="368">
        <v>1633.1690837789999</v>
      </c>
      <c r="V27" s="368">
        <v>1661.181768909832</v>
      </c>
      <c r="W27" s="368">
        <v>1702.7480186405901</v>
      </c>
      <c r="X27" s="368">
        <v>1532.5903807423299</v>
      </c>
      <c r="Y27" s="368">
        <v>1482.7805788239095</v>
      </c>
      <c r="Z27" s="368">
        <v>1573.3237693946301</v>
      </c>
      <c r="AA27" s="368">
        <v>1641.60903955308</v>
      </c>
      <c r="AB27" s="368">
        <v>1609.8891584331984</v>
      </c>
      <c r="AC27" s="368">
        <v>1593.67063274308</v>
      </c>
      <c r="AD27" s="368">
        <v>1634.9935982314771</v>
      </c>
      <c r="AE27" s="368">
        <v>1659.0931747649399</v>
      </c>
      <c r="AF27" s="368">
        <v>1603.6406981164396</v>
      </c>
      <c r="AG27" s="368">
        <v>1521.3048098414699</v>
      </c>
      <c r="AH27" s="368">
        <v>1591.7918246897798</v>
      </c>
      <c r="AI27" s="368">
        <v>1639.9323440650901</v>
      </c>
      <c r="AJ27" s="368">
        <v>1586.7717722118705</v>
      </c>
      <c r="AK27" s="368">
        <v>918.77165869438602</v>
      </c>
      <c r="AL27" s="368">
        <v>957.92253705428004</v>
      </c>
      <c r="AM27" s="368">
        <v>1244.7887880726498</v>
      </c>
      <c r="AN27" s="368">
        <v>1119.2926481545601</v>
      </c>
      <c r="AO27" s="368">
        <v>1095.845559488675</v>
      </c>
      <c r="AP27" s="368">
        <v>1178.440315879724</v>
      </c>
      <c r="AQ27" s="368">
        <v>1394.5017206188761</v>
      </c>
      <c r="AR27" s="368">
        <v>1429.8556306813298</v>
      </c>
      <c r="AS27" s="368">
        <v>1459.2791185063197</v>
      </c>
    </row>
    <row r="28" spans="1:49" x14ac:dyDescent="0.2">
      <c r="A28" s="345"/>
      <c r="B28" s="346" t="s">
        <v>713</v>
      </c>
      <c r="C28" s="347" t="s">
        <v>688</v>
      </c>
      <c r="D28" s="438">
        <v>0.5775394868270346</v>
      </c>
      <c r="E28" s="438">
        <v>0.59344209665684489</v>
      </c>
      <c r="F28" s="438">
        <v>0.58855906548959258</v>
      </c>
      <c r="G28" s="438">
        <v>0.63214424845876971</v>
      </c>
      <c r="H28" s="438">
        <v>0.58275501004235286</v>
      </c>
      <c r="I28" s="438">
        <v>0.58607202530710034</v>
      </c>
      <c r="J28" s="438">
        <v>0.57306382954803747</v>
      </c>
      <c r="K28" s="438">
        <v>0.60446852701261899</v>
      </c>
      <c r="L28" s="438">
        <v>0.56124785178003689</v>
      </c>
      <c r="M28" s="438">
        <v>0.58663710742012154</v>
      </c>
      <c r="N28" s="438">
        <v>0.56825887110432549</v>
      </c>
      <c r="O28" s="438">
        <v>0.61876036222460029</v>
      </c>
      <c r="P28" s="438">
        <v>0.58665311296063605</v>
      </c>
      <c r="Q28" s="438">
        <v>0.59545210354804323</v>
      </c>
      <c r="R28" s="438">
        <v>0.58595219561856948</v>
      </c>
      <c r="S28" s="438">
        <v>0.62300931862339959</v>
      </c>
      <c r="T28" s="438">
        <v>0.54851402670929528</v>
      </c>
      <c r="U28" s="438">
        <v>0.52801945434800768</v>
      </c>
      <c r="V28" s="438">
        <v>0.51433726066514274</v>
      </c>
      <c r="W28" s="438">
        <v>0.55293063898000971</v>
      </c>
      <c r="X28" s="438">
        <v>0.51230605680917296</v>
      </c>
      <c r="Y28" s="438">
        <v>0.48798337311830003</v>
      </c>
      <c r="Z28" s="438">
        <v>0.49633255652717462</v>
      </c>
      <c r="AA28" s="438">
        <v>0.56984228193871056</v>
      </c>
      <c r="AB28" s="438">
        <v>0.52880050202979645</v>
      </c>
      <c r="AC28" s="438">
        <v>0.5386816026223521</v>
      </c>
      <c r="AD28" s="438">
        <v>0.54214753275149008</v>
      </c>
      <c r="AE28" s="438">
        <v>0.58428981300197014</v>
      </c>
      <c r="AF28" s="438">
        <v>0.54778302232103204</v>
      </c>
      <c r="AG28" s="438">
        <v>0.54904840832527813</v>
      </c>
      <c r="AH28" s="438">
        <v>0.53504727126162666</v>
      </c>
      <c r="AI28" s="438">
        <v>0.57311449701589923</v>
      </c>
      <c r="AJ28" s="438">
        <v>0.56045422308727344</v>
      </c>
      <c r="AK28" s="438">
        <v>0.55839161877580523</v>
      </c>
      <c r="AL28" s="438">
        <v>0.53598866350366603</v>
      </c>
      <c r="AM28" s="438">
        <v>0.56377261859490346</v>
      </c>
      <c r="AN28" s="438">
        <v>0.52455143794517933</v>
      </c>
      <c r="AO28" s="439">
        <v>0.77953875197151135</v>
      </c>
      <c r="AP28" s="439">
        <v>0.72760049763232459</v>
      </c>
      <c r="AQ28" s="439">
        <v>0.66857370544369665</v>
      </c>
      <c r="AR28" s="438">
        <v>0.65349747360906052</v>
      </c>
      <c r="AS28" s="438">
        <v>0.68016857917439044</v>
      </c>
      <c r="AT28" s="438">
        <v>0.61563101912763951</v>
      </c>
      <c r="AU28" s="438">
        <v>0.59703240559576831</v>
      </c>
      <c r="AV28" s="438">
        <v>0.58436371637384887</v>
      </c>
      <c r="AW28" s="438">
        <v>0.58052925299624136</v>
      </c>
    </row>
    <row r="29" spans="1:49" x14ac:dyDescent="0.2">
      <c r="A29" s="345"/>
      <c r="B29" s="358"/>
      <c r="C29" s="347"/>
      <c r="D29" s="368"/>
      <c r="E29" s="368"/>
      <c r="F29" s="368"/>
      <c r="G29" s="368"/>
      <c r="H29" s="368"/>
      <c r="I29" s="368"/>
      <c r="J29" s="368"/>
      <c r="K29" s="368"/>
      <c r="L29" s="368"/>
      <c r="M29" s="368"/>
      <c r="N29" s="368"/>
      <c r="O29" s="368"/>
      <c r="P29" s="368"/>
      <c r="Q29" s="368"/>
      <c r="R29" s="368"/>
      <c r="S29" s="368"/>
      <c r="T29" s="368"/>
      <c r="U29" s="368"/>
      <c r="V29" s="368"/>
      <c r="W29" s="368"/>
      <c r="X29" s="368"/>
      <c r="Y29" s="368"/>
      <c r="Z29" s="368"/>
      <c r="AA29" s="368"/>
      <c r="AB29" s="368"/>
      <c r="AC29" s="368"/>
      <c r="AD29" s="368"/>
      <c r="AE29" s="368"/>
      <c r="AF29" s="368"/>
      <c r="AG29" s="368"/>
      <c r="AH29" s="368"/>
      <c r="AI29" s="368"/>
      <c r="AJ29" s="368"/>
      <c r="AK29" s="368"/>
      <c r="AL29" s="368"/>
      <c r="AM29" s="368"/>
      <c r="AN29" s="368"/>
      <c r="AO29" s="368"/>
      <c r="AP29" s="368"/>
      <c r="AQ29" s="368"/>
      <c r="AR29" s="368"/>
      <c r="AS29" s="368"/>
    </row>
    <row r="30" spans="1:49" x14ac:dyDescent="0.2">
      <c r="A30" s="345"/>
      <c r="B30" s="346" t="s">
        <v>699</v>
      </c>
      <c r="C30" s="347" t="s">
        <v>700</v>
      </c>
      <c r="D30" s="348">
        <v>16183.019872000001</v>
      </c>
      <c r="E30" s="348">
        <v>15586.189938</v>
      </c>
      <c r="F30" s="348">
        <v>16298.298781</v>
      </c>
      <c r="G30" s="348">
        <v>17560.278265999998</v>
      </c>
      <c r="H30" s="348">
        <v>18038.576758000003</v>
      </c>
      <c r="I30" s="348">
        <v>16152.188666</v>
      </c>
      <c r="J30" s="348">
        <v>16552.831168999997</v>
      </c>
      <c r="K30" s="348">
        <v>16418.734156999999</v>
      </c>
      <c r="L30" s="348">
        <v>16666.934103000003</v>
      </c>
      <c r="M30" s="348">
        <v>15927.898407000001</v>
      </c>
      <c r="N30" s="348">
        <v>16502.394476999998</v>
      </c>
      <c r="O30" s="348">
        <v>16432.867843</v>
      </c>
      <c r="P30" s="348">
        <v>17089.335393000001</v>
      </c>
      <c r="Q30" s="348">
        <v>16390.962330000002</v>
      </c>
      <c r="R30" s="348">
        <v>17912.667632000001</v>
      </c>
      <c r="S30" s="348">
        <v>18357.512402</v>
      </c>
      <c r="T30" s="348">
        <v>18566.075684999996</v>
      </c>
      <c r="U30" s="348">
        <v>17550.212117000003</v>
      </c>
      <c r="V30" s="348">
        <v>18799.253736000002</v>
      </c>
      <c r="W30" s="348">
        <v>18626.358761</v>
      </c>
      <c r="X30" s="348">
        <v>19402.57994</v>
      </c>
      <c r="Y30" s="348">
        <v>18094.49152</v>
      </c>
      <c r="Z30" s="348">
        <v>19537.376944</v>
      </c>
      <c r="AA30" s="348">
        <v>19331.647982999999</v>
      </c>
      <c r="AB30" s="348">
        <v>20063.941740000002</v>
      </c>
      <c r="AC30" s="348">
        <v>19054.267531999998</v>
      </c>
      <c r="AD30" s="348">
        <v>21183.51</v>
      </c>
      <c r="AE30" s="348">
        <v>20757.982275000002</v>
      </c>
      <c r="AF30" s="348">
        <v>21694.872538</v>
      </c>
      <c r="AG30" s="348">
        <v>19683.000252999998</v>
      </c>
      <c r="AH30" s="348">
        <v>20321</v>
      </c>
      <c r="AI30" s="348">
        <v>19633.694111000001</v>
      </c>
      <c r="AJ30" s="348">
        <v>17985.836130999996</v>
      </c>
      <c r="AK30" s="348">
        <v>928.45213499999977</v>
      </c>
      <c r="AL30" s="348">
        <v>1392.6152569999999</v>
      </c>
      <c r="AM30" s="348">
        <v>3576.4182740000001</v>
      </c>
      <c r="AN30" s="348">
        <v>4089.7377349999997</v>
      </c>
      <c r="AO30" s="349">
        <v>2796.4821059999995</v>
      </c>
      <c r="AP30" s="349">
        <v>5462.6192199999996</v>
      </c>
      <c r="AQ30" s="349">
        <v>8112.2069759999995</v>
      </c>
      <c r="AR30" s="348">
        <v>10455.611184999998</v>
      </c>
      <c r="AS30" s="348">
        <v>10681.478418999995</v>
      </c>
    </row>
    <row r="31" spans="1:49" x14ac:dyDescent="0.2">
      <c r="A31" s="345"/>
      <c r="B31" s="346" t="s">
        <v>1204</v>
      </c>
      <c r="C31" s="347"/>
      <c r="D31" s="361">
        <f>+HLOOKUP(2000+RIGHT(D25,2),Fleet!$C$1:$N$12,11,TRUE)</f>
        <v>234.35820895522386</v>
      </c>
      <c r="E31" s="361">
        <f>+HLOOKUP(2000+RIGHT(E25,2),Fleet!$C$1:$N$12,11,TRUE)</f>
        <v>234.35820895522386</v>
      </c>
      <c r="F31" s="361">
        <f>+HLOOKUP(2000+RIGHT(F25,2),Fleet!$C$1:$N$12,11,TRUE)</f>
        <v>234.35820895522386</v>
      </c>
      <c r="G31" s="361">
        <f>+HLOOKUP(2000+RIGHT(G25,2),Fleet!$C$1:$N$12,11,TRUE)</f>
        <v>234.35820895522386</v>
      </c>
      <c r="H31" s="361">
        <f>+HLOOKUP(2000+RIGHT(H25,2),Fleet!$C$1:$N$12,11,TRUE)</f>
        <v>241.42028985507244</v>
      </c>
      <c r="I31" s="361">
        <f>+HLOOKUP(2000+RIGHT(I25,2),Fleet!$C$1:$N$12,11,TRUE)</f>
        <v>241.42028985507244</v>
      </c>
      <c r="J31" s="361">
        <f>+HLOOKUP(2000+RIGHT(J25,2),Fleet!$C$1:$N$12,11,TRUE)</f>
        <v>241.42028985507244</v>
      </c>
      <c r="K31" s="361">
        <f>+HLOOKUP(2000+RIGHT(K25,2),Fleet!$C$1:$N$12,11,TRUE)</f>
        <v>241.42028985507244</v>
      </c>
      <c r="L31" s="361">
        <f>+HLOOKUP(2000+RIGHT(L25,2),Fleet!$C$1:$N$12,11,TRUE)</f>
        <v>250.29508196721312</v>
      </c>
      <c r="M31" s="361">
        <f>+HLOOKUP(2000+RIGHT(M25,2),Fleet!$C$1:$N$12,11,TRUE)</f>
        <v>250.29508196721312</v>
      </c>
      <c r="N31" s="361">
        <f>+HLOOKUP(2000+RIGHT(N25,2),Fleet!$C$1:$N$12,11,TRUE)</f>
        <v>250.29508196721312</v>
      </c>
      <c r="O31" s="361">
        <f>+HLOOKUP(2000+RIGHT(O25,2),Fleet!$C$1:$N$12,11,TRUE)</f>
        <v>250.29508196721312</v>
      </c>
      <c r="P31" s="361">
        <f>+HLOOKUP(2000+RIGHT(P25,2),Fleet!$C$1:$N$12,11,TRUE)</f>
        <v>257.98484848484844</v>
      </c>
      <c r="Q31" s="361">
        <f>+HLOOKUP(2000+RIGHT(Q25,2),Fleet!$C$1:$N$12,11,TRUE)</f>
        <v>257.98484848484844</v>
      </c>
      <c r="R31" s="361">
        <f>+HLOOKUP(2000+RIGHT(R25,2),Fleet!$C$1:$N$12,11,TRUE)</f>
        <v>257.98484848484844</v>
      </c>
      <c r="S31" s="361">
        <f>+HLOOKUP(2000+RIGHT(S25,2),Fleet!$C$1:$N$12,11,TRUE)</f>
        <v>257.98484848484844</v>
      </c>
      <c r="T31" s="361">
        <f>+HLOOKUP(2000+RIGHT(T25,2),Fleet!$C$1:$N$12,11,TRUE)</f>
        <v>269.1973684210526</v>
      </c>
      <c r="U31" s="361">
        <f>+HLOOKUP(2000+RIGHT(U25,2),Fleet!$C$1:$N$12,11,TRUE)</f>
        <v>269.1973684210526</v>
      </c>
      <c r="V31" s="361">
        <f>+HLOOKUP(2000+RIGHT(V25,2),Fleet!$C$1:$N$12,11,TRUE)</f>
        <v>269.1973684210526</v>
      </c>
      <c r="W31" s="361">
        <f>+HLOOKUP(2000+RIGHT(W25,2),Fleet!$C$1:$N$12,11,TRUE)</f>
        <v>269.1973684210526</v>
      </c>
      <c r="X31" s="361">
        <f>+HLOOKUP(2000+RIGHT(X25,2),Fleet!$C$1:$N$12,11,TRUE)</f>
        <v>268.90666666666669</v>
      </c>
      <c r="Y31" s="361">
        <f>+HLOOKUP(2000+RIGHT(Y25,2),Fleet!$C$1:$N$12,11,TRUE)</f>
        <v>268.90666666666669</v>
      </c>
      <c r="Z31" s="361">
        <f>+HLOOKUP(2000+RIGHT(Z25,2),Fleet!$C$1:$N$12,11,TRUE)</f>
        <v>268.90666666666669</v>
      </c>
      <c r="AA31" s="361">
        <f>+HLOOKUP(2000+RIGHT(AA25,2),Fleet!$C$1:$N$12,11,TRUE)</f>
        <v>268.90666666666669</v>
      </c>
      <c r="AB31" s="361">
        <f>+HLOOKUP(2000+RIGHT(AB25,2),Fleet!$C$1:$N$12,11,TRUE)</f>
        <v>271.61842105263156</v>
      </c>
      <c r="AC31" s="361">
        <f>+HLOOKUP(2000+RIGHT(AC25,2),Fleet!$C$1:$N$12,11,TRUE)</f>
        <v>271.61842105263156</v>
      </c>
      <c r="AD31" s="361">
        <f>+HLOOKUP(2000+RIGHT(AD25,2),Fleet!$C$1:$N$12,11,TRUE)</f>
        <v>271.61842105263156</v>
      </c>
      <c r="AE31" s="361">
        <f>+HLOOKUP(2000+RIGHT(AE25,2),Fleet!$C$1:$N$12,11,TRUE)</f>
        <v>271.61842105263156</v>
      </c>
      <c r="AF31" s="361">
        <f>+HLOOKUP(2000+RIGHT(AF25,2),Fleet!$C$1:$N$12,11,TRUE)</f>
        <v>280.91249999999997</v>
      </c>
      <c r="AG31" s="361">
        <f>+HLOOKUP(2000+RIGHT(AG25,2),Fleet!$C$1:$N$12,11,TRUE)</f>
        <v>280.91249999999997</v>
      </c>
      <c r="AH31" s="361">
        <f>+HLOOKUP(2000+RIGHT(AH25,2),Fleet!$C$1:$N$12,11,TRUE)</f>
        <v>280.91249999999997</v>
      </c>
      <c r="AI31" s="361">
        <f>+HLOOKUP(2000+RIGHT(AI25,2),Fleet!$C$1:$N$12,11,TRUE)</f>
        <v>280.91249999999997</v>
      </c>
      <c r="AJ31" s="361">
        <f>+HLOOKUP(2000+RIGHT(AJ25,2),Fleet!$C$1:$N$12,11,TRUE)</f>
        <v>289.54237288135596</v>
      </c>
      <c r="AK31" s="361">
        <f>+HLOOKUP(2000+RIGHT(AK25,2),Fleet!$C$1:$N$12,11,TRUE)</f>
        <v>289.54237288135596</v>
      </c>
      <c r="AL31" s="361">
        <f>+HLOOKUP(2000+RIGHT(AL25,2),Fleet!$C$1:$N$12,11,TRUE)</f>
        <v>289.54237288135596</v>
      </c>
      <c r="AM31" s="361">
        <f>+HLOOKUP(2000+RIGHT(AM25,2),Fleet!$C$1:$N$12,11,TRUE)</f>
        <v>289.54237288135596</v>
      </c>
      <c r="AN31" s="361">
        <f>+HLOOKUP(2000+RIGHT(AN25,2),Fleet!$C$1:$N$12,11,TRUE)</f>
        <v>275.81355932203388</v>
      </c>
      <c r="AO31" s="361">
        <f>+HLOOKUP(2000+RIGHT(AO25,2),Fleet!$C$1:$N$12,11,TRUE)</f>
        <v>275.81355932203388</v>
      </c>
      <c r="AP31" s="361">
        <f>+HLOOKUP(2000+RIGHT(AP25,2),Fleet!$C$1:$N$12,11,TRUE)</f>
        <v>275.81355932203388</v>
      </c>
      <c r="AQ31" s="361">
        <f>+HLOOKUP(2000+RIGHT(AQ25,2),Fleet!$C$1:$N$12,11,TRUE)</f>
        <v>275.81355932203388</v>
      </c>
      <c r="AR31" s="361">
        <f>+HLOOKUP(2000+RIGHT(AR25,2),Fleet!$C$1:$N$12,11,TRUE)</f>
        <v>287.22641509433964</v>
      </c>
      <c r="AS31" s="361">
        <f>+HLOOKUP(2000+RIGHT(AS25,2),Fleet!$C$1:$N$12,11,TRUE)</f>
        <v>287.22641509433964</v>
      </c>
    </row>
    <row r="32" spans="1:49" x14ac:dyDescent="0.2">
      <c r="A32" s="345"/>
      <c r="B32" s="346"/>
      <c r="C32" s="347"/>
      <c r="D32" s="348"/>
      <c r="E32" s="348"/>
      <c r="F32" s="348"/>
      <c r="G32" s="348"/>
      <c r="H32" s="348"/>
      <c r="I32" s="348"/>
      <c r="J32" s="348"/>
      <c r="K32" s="348"/>
      <c r="L32" s="348"/>
      <c r="M32" s="348"/>
      <c r="N32" s="348"/>
      <c r="O32" s="348"/>
      <c r="P32" s="348"/>
      <c r="Q32" s="348"/>
      <c r="R32" s="348"/>
      <c r="S32" s="348"/>
      <c r="T32" s="348"/>
      <c r="U32" s="348"/>
      <c r="V32" s="348"/>
      <c r="W32" s="348"/>
      <c r="X32" s="348"/>
      <c r="Y32" s="348"/>
      <c r="Z32" s="348"/>
      <c r="AA32" s="348"/>
      <c r="AB32" s="348"/>
      <c r="AC32" s="348"/>
      <c r="AD32" s="348"/>
      <c r="AE32" s="348"/>
      <c r="AF32" s="348"/>
      <c r="AG32" s="348"/>
      <c r="AH32" s="348"/>
      <c r="AI32" s="348"/>
      <c r="AJ32" s="348"/>
      <c r="AK32" s="348"/>
      <c r="AL32" s="348"/>
      <c r="AM32" s="348"/>
      <c r="AN32" s="348"/>
      <c r="AO32" s="349"/>
      <c r="AP32" s="349"/>
      <c r="AQ32" s="349"/>
      <c r="AR32" s="348"/>
      <c r="AS32" s="348"/>
    </row>
    <row r="33" spans="1:49" x14ac:dyDescent="0.2">
      <c r="A33" s="345"/>
      <c r="B33" s="350" t="s">
        <v>1205</v>
      </c>
      <c r="C33" s="347" t="s">
        <v>700</v>
      </c>
      <c r="D33" s="351">
        <f t="shared" ref="D33:AS33" si="2">+D30/D31</f>
        <v>69.052498498535229</v>
      </c>
      <c r="E33" s="351">
        <f t="shared" si="2"/>
        <v>66.505841666411925</v>
      </c>
      <c r="F33" s="351">
        <f t="shared" si="2"/>
        <v>69.544390416953263</v>
      </c>
      <c r="G33" s="351">
        <f t="shared" si="2"/>
        <v>74.929221998598905</v>
      </c>
      <c r="H33" s="351">
        <f t="shared" si="2"/>
        <v>74.718561430063659</v>
      </c>
      <c r="I33" s="351">
        <f t="shared" si="2"/>
        <v>66.90485160007205</v>
      </c>
      <c r="J33" s="351">
        <f t="shared" si="2"/>
        <v>68.56437451440749</v>
      </c>
      <c r="K33" s="351">
        <f t="shared" si="2"/>
        <v>68.008924050486257</v>
      </c>
      <c r="L33" s="351">
        <f t="shared" si="2"/>
        <v>66.589139395009184</v>
      </c>
      <c r="M33" s="351">
        <f t="shared" si="2"/>
        <v>63.636481715155881</v>
      </c>
      <c r="N33" s="351">
        <f t="shared" si="2"/>
        <v>65.931756817985317</v>
      </c>
      <c r="O33" s="351">
        <f t="shared" si="2"/>
        <v>65.653978151886292</v>
      </c>
      <c r="P33" s="351">
        <f t="shared" si="2"/>
        <v>66.241624240206747</v>
      </c>
      <c r="Q33" s="351">
        <f t="shared" si="2"/>
        <v>63.534592927703081</v>
      </c>
      <c r="R33" s="351">
        <f t="shared" si="2"/>
        <v>69.433021889469686</v>
      </c>
      <c r="S33" s="351">
        <f t="shared" si="2"/>
        <v>71.157327687320148</v>
      </c>
      <c r="T33" s="351">
        <f t="shared" si="2"/>
        <v>68.968265900581642</v>
      </c>
      <c r="U33" s="351">
        <f t="shared" si="2"/>
        <v>65.194590199521016</v>
      </c>
      <c r="V33" s="351">
        <f t="shared" si="2"/>
        <v>69.834463264871218</v>
      </c>
      <c r="W33" s="351">
        <f t="shared" si="2"/>
        <v>69.192202250158857</v>
      </c>
      <c r="X33" s="351">
        <f t="shared" si="2"/>
        <v>72.153584663823864</v>
      </c>
      <c r="Y33" s="351">
        <f t="shared" si="2"/>
        <v>67.289114637048783</v>
      </c>
      <c r="Z33" s="351">
        <f t="shared" si="2"/>
        <v>72.654862693375634</v>
      </c>
      <c r="AA33" s="351">
        <f t="shared" si="2"/>
        <v>71.889805569466475</v>
      </c>
      <c r="AB33" s="351">
        <f t="shared" si="2"/>
        <v>73.868118599040855</v>
      </c>
      <c r="AC33" s="351">
        <f t="shared" si="2"/>
        <v>70.150866270987748</v>
      </c>
      <c r="AD33" s="351">
        <f t="shared" si="2"/>
        <v>77.989960761517224</v>
      </c>
      <c r="AE33" s="351">
        <f t="shared" si="2"/>
        <v>76.423322816451105</v>
      </c>
      <c r="AF33" s="352">
        <f t="shared" si="2"/>
        <v>77.230000580251868</v>
      </c>
      <c r="AG33" s="352">
        <f t="shared" si="2"/>
        <v>70.068082598673968</v>
      </c>
      <c r="AH33" s="352">
        <f t="shared" si="2"/>
        <v>72.339251546300019</v>
      </c>
      <c r="AI33" s="352">
        <f t="shared" si="2"/>
        <v>69.892561245939589</v>
      </c>
      <c r="AJ33" s="352">
        <f t="shared" si="2"/>
        <v>62.118148552888819</v>
      </c>
      <c r="AK33" s="352">
        <f t="shared" si="2"/>
        <v>3.2066192100333653</v>
      </c>
      <c r="AL33" s="352">
        <f t="shared" si="2"/>
        <v>4.8097114185447518</v>
      </c>
      <c r="AM33" s="352">
        <f t="shared" si="2"/>
        <v>12.351968516419833</v>
      </c>
      <c r="AN33" s="352">
        <f t="shared" si="2"/>
        <v>14.827906739076999</v>
      </c>
      <c r="AO33" s="353">
        <f t="shared" si="2"/>
        <v>10.13903055699625</v>
      </c>
      <c r="AP33" s="353">
        <f t="shared" si="2"/>
        <v>19.80547741535058</v>
      </c>
      <c r="AQ33" s="354">
        <f t="shared" si="2"/>
        <v>29.411922299760338</v>
      </c>
      <c r="AR33" s="354">
        <f t="shared" si="2"/>
        <v>36.401983367601645</v>
      </c>
      <c r="AS33" s="354">
        <f t="shared" si="2"/>
        <v>37.188356842081042</v>
      </c>
    </row>
    <row r="34" spans="1:49" x14ac:dyDescent="0.2">
      <c r="A34" s="355"/>
      <c r="B34" s="350" t="s">
        <v>1206</v>
      </c>
      <c r="C34" s="347"/>
      <c r="D34" s="361">
        <f>+HLOOKUP(2000+RIGHT(D25,2),Fleet!$C$1:$N$14,14,TRUE)</f>
        <v>13.766760459701493</v>
      </c>
      <c r="E34" s="361">
        <f>+HLOOKUP(2000+RIGHT(E25,2),Fleet!$C$1:$N$14,14,TRUE)</f>
        <v>13.766760459701493</v>
      </c>
      <c r="F34" s="361">
        <f>+HLOOKUP(2000+RIGHT(F25,2),Fleet!$C$1:$N$14,14,TRUE)</f>
        <v>13.766760459701493</v>
      </c>
      <c r="G34" s="361">
        <f>+HLOOKUP(2000+RIGHT(G25,2),Fleet!$C$1:$N$14,14,TRUE)</f>
        <v>13.766760459701493</v>
      </c>
      <c r="H34" s="361">
        <f>+HLOOKUP(2000+RIGHT(H25,2),Fleet!$C$1:$N$14,14,TRUE)</f>
        <v>14.176095553623187</v>
      </c>
      <c r="I34" s="361">
        <f>+HLOOKUP(2000+RIGHT(I25,2),Fleet!$C$1:$N$14,14,TRUE)</f>
        <v>14.176095553623187</v>
      </c>
      <c r="J34" s="361">
        <f>+HLOOKUP(2000+RIGHT(J25,2),Fleet!$C$1:$N$14,14,TRUE)</f>
        <v>14.176095553623187</v>
      </c>
      <c r="K34" s="361">
        <f>+HLOOKUP(2000+RIGHT(K25,2),Fleet!$C$1:$N$14,14,TRUE)</f>
        <v>14.176095553623187</v>
      </c>
      <c r="L34" s="361">
        <f>+HLOOKUP(2000+RIGHT(L25,2),Fleet!$C$1:$N$14,14,TRUE)</f>
        <v>14.816260445901639</v>
      </c>
      <c r="M34" s="361">
        <f>+HLOOKUP(2000+RIGHT(M25,2),Fleet!$C$1:$N$14,14,TRUE)</f>
        <v>14.816260445901639</v>
      </c>
      <c r="N34" s="361">
        <f>+HLOOKUP(2000+RIGHT(N25,2),Fleet!$C$1:$N$14,14,TRUE)</f>
        <v>14.816260445901639</v>
      </c>
      <c r="O34" s="361">
        <f>+HLOOKUP(2000+RIGHT(O25,2),Fleet!$C$1:$N$14,14,TRUE)</f>
        <v>14.816260445901639</v>
      </c>
      <c r="P34" s="361">
        <f>+HLOOKUP(2000+RIGHT(P25,2),Fleet!$C$1:$N$14,14,TRUE)</f>
        <v>15.124031906060605</v>
      </c>
      <c r="Q34" s="361">
        <f>+HLOOKUP(2000+RIGHT(Q25,2),Fleet!$C$1:$N$14,14,TRUE)</f>
        <v>15.124031906060605</v>
      </c>
      <c r="R34" s="361">
        <f>+HLOOKUP(2000+RIGHT(R25,2),Fleet!$C$1:$N$14,14,TRUE)</f>
        <v>15.124031906060605</v>
      </c>
      <c r="S34" s="361">
        <f>+HLOOKUP(2000+RIGHT(S25,2),Fleet!$C$1:$N$14,14,TRUE)</f>
        <v>15.124031906060605</v>
      </c>
      <c r="T34" s="361">
        <f>+HLOOKUP(2000+RIGHT(T25,2),Fleet!$C$1:$N$14,14,TRUE)</f>
        <v>15.357778928947367</v>
      </c>
      <c r="U34" s="361">
        <f>+HLOOKUP(2000+RIGHT(U25,2),Fleet!$C$1:$N$14,14,TRUE)</f>
        <v>15.357778928947367</v>
      </c>
      <c r="V34" s="361">
        <f>+HLOOKUP(2000+RIGHT(V25,2),Fleet!$C$1:$N$14,14,TRUE)</f>
        <v>15.357778928947367</v>
      </c>
      <c r="W34" s="361">
        <f>+HLOOKUP(2000+RIGHT(W25,2),Fleet!$C$1:$N$14,14,TRUE)</f>
        <v>15.357778928947367</v>
      </c>
      <c r="X34" s="361">
        <f>+HLOOKUP(2000+RIGHT(X25,2),Fleet!$C$1:$N$14,14,TRUE)</f>
        <v>15.421471296</v>
      </c>
      <c r="Y34" s="361">
        <f>+HLOOKUP(2000+RIGHT(Y25,2),Fleet!$C$1:$N$14,14,TRUE)</f>
        <v>15.421471296</v>
      </c>
      <c r="Z34" s="361">
        <f>+HLOOKUP(2000+RIGHT(Z25,2),Fleet!$C$1:$N$14,14,TRUE)</f>
        <v>15.421471296</v>
      </c>
      <c r="AA34" s="361">
        <f>+HLOOKUP(2000+RIGHT(AA25,2),Fleet!$C$1:$N$14,14,TRUE)</f>
        <v>15.421471296</v>
      </c>
      <c r="AB34" s="361">
        <f>+HLOOKUP(2000+RIGHT(AB25,2),Fleet!$C$1:$N$14,14,TRUE)</f>
        <v>15.44409095</v>
      </c>
      <c r="AC34" s="361">
        <f>+HLOOKUP(2000+RIGHT(AC25,2),Fleet!$C$1:$N$14,14,TRUE)</f>
        <v>15.44409095</v>
      </c>
      <c r="AD34" s="361">
        <f>+HLOOKUP(2000+RIGHT(AD25,2),Fleet!$C$1:$N$14,14,TRUE)</f>
        <v>15.44409095</v>
      </c>
      <c r="AE34" s="361">
        <f>+HLOOKUP(2000+RIGHT(AE25,2),Fleet!$C$1:$N$14,14,TRUE)</f>
        <v>15.44409095</v>
      </c>
      <c r="AF34" s="361">
        <f>+HLOOKUP(2000+RIGHT(AF25,2),Fleet!$C$1:$N$14,14,TRUE)</f>
        <v>15.577339927500001</v>
      </c>
      <c r="AG34" s="361">
        <f>+HLOOKUP(2000+RIGHT(AG25,2),Fleet!$C$1:$N$14,14,TRUE)</f>
        <v>15.577339927500001</v>
      </c>
      <c r="AH34" s="361">
        <f>+HLOOKUP(2000+RIGHT(AH25,2),Fleet!$C$1:$N$14,14,TRUE)</f>
        <v>15.577339927500001</v>
      </c>
      <c r="AI34" s="361">
        <f>+HLOOKUP(2000+RIGHT(AI25,2),Fleet!$C$1:$N$14,14,TRUE)</f>
        <v>15.577339927500001</v>
      </c>
      <c r="AJ34" s="361">
        <f>+HLOOKUP(2000+RIGHT(AJ25,2),Fleet!$C$1:$N$14,14,TRUE)</f>
        <v>15.686218444067796</v>
      </c>
      <c r="AK34" s="361">
        <f>+HLOOKUP(2000+RIGHT(AK25,2),Fleet!$C$1:$N$14,14,TRUE)</f>
        <v>15.686218444067796</v>
      </c>
      <c r="AL34" s="361">
        <f>+HLOOKUP(2000+RIGHT(AL25,2),Fleet!$C$1:$N$14,14,TRUE)</f>
        <v>15.686218444067796</v>
      </c>
      <c r="AM34" s="361">
        <f>+HLOOKUP(2000+RIGHT(AM25,2),Fleet!$C$1:$N$14,14,TRUE)</f>
        <v>15.686218444067796</v>
      </c>
      <c r="AN34" s="361">
        <f>+HLOOKUP(2000+RIGHT(AN25,2),Fleet!$C$1:$N$14,14,TRUE)</f>
        <v>15.736571427118644</v>
      </c>
      <c r="AO34" s="361">
        <f>+HLOOKUP(2000+RIGHT(AO25,2),Fleet!$C$1:$N$14,14,TRUE)</f>
        <v>15.736571427118644</v>
      </c>
      <c r="AP34" s="361">
        <f>+HLOOKUP(2000+RIGHT(AP25,2),Fleet!$C$1:$N$14,14,TRUE)</f>
        <v>15.736571427118644</v>
      </c>
      <c r="AQ34" s="361">
        <f>+HLOOKUP(2000+RIGHT(AQ25,2),Fleet!$C$1:$N$14,14,TRUE)</f>
        <v>15.736571427118644</v>
      </c>
      <c r="AR34" s="361">
        <f>+HLOOKUP(2000+RIGHT(AR25,2),Fleet!$C$1:$N$14,14,TRUE)</f>
        <v>16.067321588679246</v>
      </c>
      <c r="AS34" s="361">
        <f>+HLOOKUP(2000+RIGHT(AS25,2),Fleet!$C$1:$N$14,14,TRUE)</f>
        <v>16.067321588679246</v>
      </c>
    </row>
    <row r="35" spans="1:49" x14ac:dyDescent="0.2">
      <c r="A35" s="355"/>
      <c r="B35" s="350"/>
      <c r="C35" s="347"/>
      <c r="D35" s="361"/>
      <c r="E35" s="361"/>
      <c r="F35" s="361"/>
      <c r="G35" s="361"/>
      <c r="H35" s="361"/>
      <c r="I35" s="361"/>
      <c r="J35" s="361"/>
      <c r="K35" s="361"/>
      <c r="L35" s="361"/>
      <c r="M35" s="361"/>
      <c r="N35" s="361"/>
      <c r="O35" s="361"/>
      <c r="P35" s="361"/>
      <c r="Q35" s="361"/>
      <c r="R35" s="361"/>
      <c r="S35" s="361"/>
      <c r="T35" s="361"/>
      <c r="U35" s="361"/>
      <c r="V35" s="361"/>
      <c r="W35" s="361"/>
      <c r="X35" s="361"/>
      <c r="Y35" s="361"/>
      <c r="Z35" s="361"/>
      <c r="AA35" s="361"/>
      <c r="AB35" s="361"/>
      <c r="AC35" s="361"/>
      <c r="AD35" s="361"/>
      <c r="AE35" s="361"/>
      <c r="AF35" s="361"/>
      <c r="AG35" s="361"/>
      <c r="AH35" s="361"/>
      <c r="AI35" s="361"/>
      <c r="AJ35" s="361"/>
      <c r="AK35" s="361"/>
      <c r="AL35" s="361"/>
      <c r="AM35" s="361"/>
      <c r="AN35" s="361"/>
      <c r="AO35" s="361"/>
      <c r="AP35" s="361"/>
      <c r="AQ35" s="361"/>
      <c r="AR35" s="361"/>
      <c r="AS35" s="361"/>
    </row>
    <row r="36" spans="1:49" x14ac:dyDescent="0.2">
      <c r="A36" s="358"/>
      <c r="B36" s="350" t="s">
        <v>1207</v>
      </c>
      <c r="C36" s="347" t="s">
        <v>700</v>
      </c>
      <c r="D36" s="367">
        <f>+D33*D34</f>
        <v>950.62920597323148</v>
      </c>
      <c r="E36" s="367">
        <f t="shared" ref="E36:AS36" si="3">+E33*E34</f>
        <v>915.56999139232767</v>
      </c>
      <c r="F36" s="367">
        <f t="shared" si="3"/>
        <v>957.40096418615553</v>
      </c>
      <c r="G36" s="367">
        <f t="shared" si="3"/>
        <v>1031.5326506865067</v>
      </c>
      <c r="H36" s="367">
        <f t="shared" si="3"/>
        <v>1059.2174664618462</v>
      </c>
      <c r="I36" s="367">
        <f t="shared" si="3"/>
        <v>948.44956928360057</v>
      </c>
      <c r="J36" s="367">
        <f t="shared" si="3"/>
        <v>971.97512469064691</v>
      </c>
      <c r="K36" s="367">
        <f t="shared" si="3"/>
        <v>964.10100583879523</v>
      </c>
      <c r="L36" s="367">
        <f t="shared" si="3"/>
        <v>986.60203214490514</v>
      </c>
      <c r="M36" s="367">
        <f t="shared" si="3"/>
        <v>942.85468695260693</v>
      </c>
      <c r="N36" s="367">
        <f t="shared" si="3"/>
        <v>976.86208067112159</v>
      </c>
      <c r="O36" s="367">
        <f t="shared" si="3"/>
        <v>972.7464396078833</v>
      </c>
      <c r="P36" s="367">
        <f t="shared" si="3"/>
        <v>1001.8404385181644</v>
      </c>
      <c r="Q36" s="367">
        <f t="shared" si="3"/>
        <v>960.89921057715389</v>
      </c>
      <c r="R36" s="367">
        <f t="shared" si="3"/>
        <v>1050.1072383905439</v>
      </c>
      <c r="S36" s="367">
        <f t="shared" si="3"/>
        <v>1076.1856942930397</v>
      </c>
      <c r="T36" s="367">
        <f t="shared" si="3"/>
        <v>1059.1993808139919</v>
      </c>
      <c r="U36" s="367">
        <f t="shared" si="3"/>
        <v>1001.2441036475624</v>
      </c>
      <c r="V36" s="367">
        <f t="shared" si="3"/>
        <v>1072.5022484435881</v>
      </c>
      <c r="W36" s="367">
        <f t="shared" si="3"/>
        <v>1062.6385457649542</v>
      </c>
      <c r="X36" s="367">
        <f t="shared" si="3"/>
        <v>1112.7144347966655</v>
      </c>
      <c r="Y36" s="367">
        <f t="shared" si="3"/>
        <v>1037.6971499085012</v>
      </c>
      <c r="Z36" s="367">
        <f t="shared" si="3"/>
        <v>1120.4448795407136</v>
      </c>
      <c r="AA36" s="367">
        <f t="shared" si="3"/>
        <v>1108.6465730645482</v>
      </c>
      <c r="AB36" s="367">
        <f t="shared" si="3"/>
        <v>1140.8259419489734</v>
      </c>
      <c r="AC36" s="367">
        <f t="shared" si="3"/>
        <v>1083.4163589104221</v>
      </c>
      <c r="AD36" s="367">
        <f t="shared" si="3"/>
        <v>1204.4840471878033</v>
      </c>
      <c r="AE36" s="367">
        <f t="shared" si="3"/>
        <v>1180.2887482784811</v>
      </c>
      <c r="AF36" s="367">
        <f t="shared" si="3"/>
        <v>1203.0379716396058</v>
      </c>
      <c r="AG36" s="367">
        <f t="shared" si="3"/>
        <v>1091.4743407076919</v>
      </c>
      <c r="AH36" s="367">
        <f t="shared" si="3"/>
        <v>1126.8531114376456</v>
      </c>
      <c r="AI36" s="367">
        <f t="shared" si="3"/>
        <v>1088.7401849316141</v>
      </c>
      <c r="AJ36" s="367">
        <f t="shared" si="3"/>
        <v>974.39884754166792</v>
      </c>
      <c r="AK36" s="367">
        <f t="shared" si="3"/>
        <v>50.299729395527478</v>
      </c>
      <c r="AL36" s="367">
        <f t="shared" si="3"/>
        <v>75.446183964220168</v>
      </c>
      <c r="AM36" s="367">
        <f t="shared" si="3"/>
        <v>193.75567636280951</v>
      </c>
      <c r="AN36" s="367">
        <f t="shared" si="3"/>
        <v>233.3404135141391</v>
      </c>
      <c r="AO36" s="367">
        <f t="shared" si="3"/>
        <v>159.55357856191003</v>
      </c>
      <c r="AP36" s="367">
        <f t="shared" si="3"/>
        <v>311.67030999484956</v>
      </c>
      <c r="AQ36" s="367">
        <f t="shared" si="3"/>
        <v>462.84281607904222</v>
      </c>
      <c r="AR36" s="367">
        <f t="shared" si="3"/>
        <v>584.88237323300871</v>
      </c>
      <c r="AS36" s="367">
        <f t="shared" si="3"/>
        <v>597.51728873627621</v>
      </c>
    </row>
    <row r="37" spans="1:49" x14ac:dyDescent="0.2">
      <c r="B37" s="358" t="s">
        <v>1208</v>
      </c>
      <c r="C37" s="347" t="s">
        <v>700</v>
      </c>
      <c r="D37" s="368">
        <f t="shared" ref="D37:AS37" si="4">+D27-D36</f>
        <v>934.3993535713754</v>
      </c>
      <c r="E37" s="368">
        <f t="shared" si="4"/>
        <v>932.22651935777481</v>
      </c>
      <c r="F37" s="368">
        <f t="shared" si="4"/>
        <v>905.35017630929383</v>
      </c>
      <c r="G37" s="368">
        <f t="shared" si="4"/>
        <v>1018.8361988702081</v>
      </c>
      <c r="H37" s="368">
        <f t="shared" si="4"/>
        <v>897.87615072565382</v>
      </c>
      <c r="I37" s="368">
        <f t="shared" si="4"/>
        <v>958.52677777933263</v>
      </c>
      <c r="J37" s="368">
        <f t="shared" si="4"/>
        <v>892.20633721442823</v>
      </c>
      <c r="K37" s="368">
        <f t="shared" si="4"/>
        <v>959.52837400919123</v>
      </c>
      <c r="L37" s="368">
        <f t="shared" si="4"/>
        <v>840.93406427254456</v>
      </c>
      <c r="M37" s="368">
        <f t="shared" si="4"/>
        <v>820.21918813345292</v>
      </c>
      <c r="N37" s="368">
        <f t="shared" si="4"/>
        <v>797.14355491290837</v>
      </c>
      <c r="O37" s="368">
        <f t="shared" si="4"/>
        <v>882.3506102844226</v>
      </c>
      <c r="P37" s="368">
        <f t="shared" si="4"/>
        <v>765.61426347286408</v>
      </c>
      <c r="Q37" s="368">
        <f t="shared" si="4"/>
        <v>778.96086717895844</v>
      </c>
      <c r="R37" s="368">
        <f t="shared" si="4"/>
        <v>715.12671833215973</v>
      </c>
      <c r="S37" s="368">
        <f t="shared" si="4"/>
        <v>734.02451811696051</v>
      </c>
      <c r="T37" s="368">
        <f t="shared" si="4"/>
        <v>647.83392821000825</v>
      </c>
      <c r="U37" s="368">
        <f t="shared" si="4"/>
        <v>631.92498013143756</v>
      </c>
      <c r="V37" s="368">
        <f t="shared" si="4"/>
        <v>588.67952046624396</v>
      </c>
      <c r="W37" s="368">
        <f t="shared" si="4"/>
        <v>640.1094728756359</v>
      </c>
      <c r="X37" s="368">
        <f t="shared" si="4"/>
        <v>419.8759459456644</v>
      </c>
      <c r="Y37" s="368">
        <f t="shared" si="4"/>
        <v>445.08342891540838</v>
      </c>
      <c r="Z37" s="368">
        <f t="shared" si="4"/>
        <v>452.87888985391646</v>
      </c>
      <c r="AA37" s="368">
        <f t="shared" si="4"/>
        <v>532.96246648853185</v>
      </c>
      <c r="AB37" s="368">
        <f t="shared" si="4"/>
        <v>469.06321648422499</v>
      </c>
      <c r="AC37" s="368">
        <f t="shared" si="4"/>
        <v>510.25427383265787</v>
      </c>
      <c r="AD37" s="368">
        <f t="shared" si="4"/>
        <v>430.50955104367381</v>
      </c>
      <c r="AE37" s="368">
        <f t="shared" si="4"/>
        <v>478.80442648645885</v>
      </c>
      <c r="AF37" s="368">
        <f t="shared" si="4"/>
        <v>400.60272647683382</v>
      </c>
      <c r="AG37" s="368">
        <f t="shared" si="4"/>
        <v>429.83046913377802</v>
      </c>
      <c r="AH37" s="368">
        <f t="shared" si="4"/>
        <v>464.93871325213422</v>
      </c>
      <c r="AI37" s="368">
        <f t="shared" si="4"/>
        <v>551.19215913347603</v>
      </c>
      <c r="AJ37" s="368">
        <f t="shared" si="4"/>
        <v>612.37292467020256</v>
      </c>
      <c r="AK37" s="368">
        <f t="shared" si="4"/>
        <v>868.47192929885853</v>
      </c>
      <c r="AL37" s="368">
        <f t="shared" si="4"/>
        <v>882.47635309005989</v>
      </c>
      <c r="AM37" s="368">
        <f t="shared" si="4"/>
        <v>1051.0331117098403</v>
      </c>
      <c r="AN37" s="368">
        <f t="shared" si="4"/>
        <v>885.95223464042101</v>
      </c>
      <c r="AO37" s="368">
        <f t="shared" si="4"/>
        <v>936.29198092676495</v>
      </c>
      <c r="AP37" s="368">
        <f t="shared" si="4"/>
        <v>866.77000588487454</v>
      </c>
      <c r="AQ37" s="368">
        <f t="shared" si="4"/>
        <v>931.65890453983388</v>
      </c>
      <c r="AR37" s="368">
        <f t="shared" si="4"/>
        <v>844.97325744832108</v>
      </c>
      <c r="AS37" s="368">
        <f t="shared" si="4"/>
        <v>861.76182977004351</v>
      </c>
    </row>
    <row r="38" spans="1:49" x14ac:dyDescent="0.2">
      <c r="B38" s="358"/>
      <c r="C38" s="347"/>
      <c r="D38" s="358"/>
      <c r="E38" s="358"/>
      <c r="F38" s="358"/>
      <c r="G38" s="358"/>
      <c r="H38" s="358"/>
      <c r="I38" s="358"/>
      <c r="J38" s="358"/>
      <c r="K38" s="358"/>
      <c r="L38" s="356"/>
      <c r="M38" s="356"/>
      <c r="N38" s="356"/>
      <c r="O38" s="356"/>
      <c r="P38" s="356"/>
      <c r="Q38" s="356"/>
      <c r="R38" s="356"/>
      <c r="S38" s="356"/>
      <c r="T38" s="356"/>
      <c r="U38" s="356"/>
      <c r="V38" s="356"/>
      <c r="W38" s="356"/>
      <c r="X38" s="356"/>
      <c r="Y38" s="356"/>
      <c r="Z38" s="356"/>
      <c r="AA38" s="356"/>
      <c r="AB38" s="356"/>
      <c r="AC38" s="356"/>
      <c r="AD38" s="356"/>
      <c r="AE38" s="356"/>
      <c r="AF38" s="356"/>
      <c r="AG38" s="356"/>
      <c r="AH38" s="356"/>
      <c r="AI38" s="356"/>
      <c r="AJ38" s="356"/>
      <c r="AK38" s="356"/>
      <c r="AL38" s="356"/>
      <c r="AM38" s="356"/>
      <c r="AN38" s="356"/>
      <c r="AO38" s="357"/>
      <c r="AP38" s="357"/>
      <c r="AQ38" s="357"/>
      <c r="AR38" s="356"/>
      <c r="AS38" s="356"/>
    </row>
    <row r="39" spans="1:49" x14ac:dyDescent="0.2">
      <c r="B39" s="350" t="s">
        <v>1207</v>
      </c>
      <c r="C39" s="347" t="s">
        <v>688</v>
      </c>
      <c r="D39" s="362">
        <f t="shared" ref="D39:AS39" si="5">+D36/D27</f>
        <v>0.50430493541322707</v>
      </c>
      <c r="E39" s="362">
        <f t="shared" si="5"/>
        <v>0.49549286735077624</v>
      </c>
      <c r="F39" s="362">
        <f t="shared" si="5"/>
        <v>0.51397148195088938</v>
      </c>
      <c r="G39" s="362">
        <f t="shared" si="5"/>
        <v>0.50309613848723944</v>
      </c>
      <c r="H39" s="362">
        <f t="shared" si="5"/>
        <v>0.54121962136079438</v>
      </c>
      <c r="I39" s="362">
        <f t="shared" si="5"/>
        <v>0.49735780453930312</v>
      </c>
      <c r="J39" s="362">
        <f t="shared" si="5"/>
        <v>0.52139512410843847</v>
      </c>
      <c r="K39" s="362">
        <f t="shared" si="5"/>
        <v>0.50118854283405812</v>
      </c>
      <c r="L39" s="362">
        <f t="shared" si="5"/>
        <v>0.53985364999299223</v>
      </c>
      <c r="M39" s="362">
        <f t="shared" si="5"/>
        <v>0.53477888832456544</v>
      </c>
      <c r="N39" s="362">
        <f t="shared" si="5"/>
        <v>0.5506533130879957</v>
      </c>
      <c r="O39" s="362">
        <f t="shared" si="5"/>
        <v>0.52436417796274015</v>
      </c>
      <c r="P39" s="362">
        <f t="shared" si="5"/>
        <v>0.56682665608889238</v>
      </c>
      <c r="Q39" s="362">
        <f t="shared" si="5"/>
        <v>0.55228533769015509</v>
      </c>
      <c r="R39" s="362">
        <f t="shared" si="5"/>
        <v>0.5948827544311186</v>
      </c>
      <c r="S39" s="362">
        <f t="shared" si="5"/>
        <v>0.59450868574002447</v>
      </c>
      <c r="T39" s="362">
        <f t="shared" si="5"/>
        <v>0.62049133734806339</v>
      </c>
      <c r="U39" s="362">
        <f t="shared" si="5"/>
        <v>0.6130682447960486</v>
      </c>
      <c r="V39" s="362">
        <f t="shared" si="5"/>
        <v>0.64562606483902663</v>
      </c>
      <c r="W39" s="362">
        <f t="shared" si="5"/>
        <v>0.62407269550859601</v>
      </c>
      <c r="X39" s="362">
        <f t="shared" si="5"/>
        <v>0.72603511595688597</v>
      </c>
      <c r="Y39" s="362">
        <f t="shared" si="5"/>
        <v>0.69983190009918173</v>
      </c>
      <c r="Z39" s="362">
        <f t="shared" si="5"/>
        <v>0.71215149820804446</v>
      </c>
      <c r="AA39" s="362">
        <f t="shared" si="5"/>
        <v>0.67534141586255625</v>
      </c>
      <c r="AB39" s="362">
        <f t="shared" si="5"/>
        <v>0.70863632814278088</v>
      </c>
      <c r="AC39" s="362">
        <f t="shared" si="5"/>
        <v>0.67982451119501974</v>
      </c>
      <c r="AD39" s="362">
        <f t="shared" si="5"/>
        <v>0.73669037511257363</v>
      </c>
      <c r="AE39" s="362">
        <f t="shared" si="5"/>
        <v>0.71140594526627732</v>
      </c>
      <c r="AF39" s="362">
        <f t="shared" si="5"/>
        <v>0.75019171878877677</v>
      </c>
      <c r="AG39" s="362">
        <f t="shared" si="5"/>
        <v>0.7174593373049486</v>
      </c>
      <c r="AH39" s="362">
        <f t="shared" si="5"/>
        <v>0.70791487552541932</v>
      </c>
      <c r="AI39" s="362">
        <f t="shared" si="5"/>
        <v>0.66389335442511477</v>
      </c>
      <c r="AJ39" s="362">
        <f t="shared" si="5"/>
        <v>0.61407624247273496</v>
      </c>
      <c r="AK39" s="362">
        <f t="shared" si="5"/>
        <v>5.474671418032806E-2</v>
      </c>
      <c r="AL39" s="362">
        <f t="shared" si="5"/>
        <v>7.8760213948223523E-2</v>
      </c>
      <c r="AM39" s="362">
        <f t="shared" si="5"/>
        <v>0.15565345560575639</v>
      </c>
      <c r="AN39" s="362">
        <f t="shared" si="5"/>
        <v>0.20847131793357207</v>
      </c>
      <c r="AO39" s="362">
        <f t="shared" si="5"/>
        <v>0.14559859934675304</v>
      </c>
      <c r="AP39" s="362">
        <f t="shared" si="5"/>
        <v>0.26447695805636351</v>
      </c>
      <c r="AQ39" s="362">
        <f t="shared" si="5"/>
        <v>0.33190551810408225</v>
      </c>
      <c r="AR39" s="362">
        <f t="shared" si="5"/>
        <v>0.40904994929754607</v>
      </c>
      <c r="AS39" s="362">
        <f t="shared" si="5"/>
        <v>0.40946058993010154</v>
      </c>
    </row>
    <row r="40" spans="1:49" x14ac:dyDescent="0.2">
      <c r="B40" s="358" t="s">
        <v>1209</v>
      </c>
      <c r="C40" s="347" t="s">
        <v>688</v>
      </c>
      <c r="D40" s="362">
        <f>1-D39</f>
        <v>0.49569506458677293</v>
      </c>
      <c r="E40" s="362">
        <f t="shared" ref="E40:AS40" si="6">1-E39</f>
        <v>0.50450713264922376</v>
      </c>
      <c r="F40" s="362">
        <f t="shared" si="6"/>
        <v>0.48602851804911062</v>
      </c>
      <c r="G40" s="362">
        <f t="shared" si="6"/>
        <v>0.49690386151276056</v>
      </c>
      <c r="H40" s="362">
        <f t="shared" si="6"/>
        <v>0.45878037863920562</v>
      </c>
      <c r="I40" s="362">
        <f t="shared" si="6"/>
        <v>0.50264219546069688</v>
      </c>
      <c r="J40" s="362">
        <f t="shared" si="6"/>
        <v>0.47860487589156153</v>
      </c>
      <c r="K40" s="362">
        <f t="shared" si="6"/>
        <v>0.49881145716594188</v>
      </c>
      <c r="L40" s="362">
        <f t="shared" si="6"/>
        <v>0.46014635000700777</v>
      </c>
      <c r="M40" s="362">
        <f t="shared" si="6"/>
        <v>0.46522111167543456</v>
      </c>
      <c r="N40" s="362">
        <f t="shared" si="6"/>
        <v>0.4493466869120043</v>
      </c>
      <c r="O40" s="362">
        <f t="shared" si="6"/>
        <v>0.47563582203725985</v>
      </c>
      <c r="P40" s="362">
        <f t="shared" si="6"/>
        <v>0.43317334391110762</v>
      </c>
      <c r="Q40" s="362">
        <f t="shared" si="6"/>
        <v>0.44771466230984491</v>
      </c>
      <c r="R40" s="362">
        <f t="shared" si="6"/>
        <v>0.4051172455688814</v>
      </c>
      <c r="S40" s="362">
        <f t="shared" si="6"/>
        <v>0.40549131425997553</v>
      </c>
      <c r="T40" s="362">
        <f t="shared" si="6"/>
        <v>0.37950866265193661</v>
      </c>
      <c r="U40" s="362">
        <f t="shared" si="6"/>
        <v>0.3869317552039514</v>
      </c>
      <c r="V40" s="362">
        <f t="shared" si="6"/>
        <v>0.35437393516097337</v>
      </c>
      <c r="W40" s="362">
        <f t="shared" si="6"/>
        <v>0.37592730449140399</v>
      </c>
      <c r="X40" s="362">
        <f t="shared" si="6"/>
        <v>0.27396488404311403</v>
      </c>
      <c r="Y40" s="362">
        <f t="shared" si="6"/>
        <v>0.30016809990081827</v>
      </c>
      <c r="Z40" s="362">
        <f t="shared" si="6"/>
        <v>0.28784850179195554</v>
      </c>
      <c r="AA40" s="362">
        <f t="shared" si="6"/>
        <v>0.32465858413744375</v>
      </c>
      <c r="AB40" s="362">
        <f t="shared" si="6"/>
        <v>0.29136367185721912</v>
      </c>
      <c r="AC40" s="362">
        <f t="shared" si="6"/>
        <v>0.32017548880498026</v>
      </c>
      <c r="AD40" s="362">
        <f t="shared" si="6"/>
        <v>0.26330962488742637</v>
      </c>
      <c r="AE40" s="362">
        <f t="shared" si="6"/>
        <v>0.28859405473372268</v>
      </c>
      <c r="AF40" s="362">
        <f t="shared" si="6"/>
        <v>0.24980828121122323</v>
      </c>
      <c r="AG40" s="362">
        <f t="shared" si="6"/>
        <v>0.2825406626950514</v>
      </c>
      <c r="AH40" s="362">
        <f t="shared" si="6"/>
        <v>0.29208512447458068</v>
      </c>
      <c r="AI40" s="362">
        <f t="shared" si="6"/>
        <v>0.33610664557488523</v>
      </c>
      <c r="AJ40" s="362">
        <f t="shared" si="6"/>
        <v>0.38592375752726504</v>
      </c>
      <c r="AK40" s="362">
        <f t="shared" si="6"/>
        <v>0.94525328581967194</v>
      </c>
      <c r="AL40" s="362">
        <f t="shared" si="6"/>
        <v>0.92123978605177648</v>
      </c>
      <c r="AM40" s="362">
        <f t="shared" si="6"/>
        <v>0.84434654439424361</v>
      </c>
      <c r="AN40" s="362">
        <f t="shared" si="6"/>
        <v>0.7915286820664279</v>
      </c>
      <c r="AO40" s="362">
        <f t="shared" si="6"/>
        <v>0.85440140065324699</v>
      </c>
      <c r="AP40" s="362">
        <f t="shared" si="6"/>
        <v>0.73552304194363649</v>
      </c>
      <c r="AQ40" s="362">
        <f t="shared" si="6"/>
        <v>0.6680944818959178</v>
      </c>
      <c r="AR40" s="362">
        <f t="shared" si="6"/>
        <v>0.59095005070245388</v>
      </c>
      <c r="AS40" s="362">
        <f t="shared" si="6"/>
        <v>0.59053941006989841</v>
      </c>
    </row>
    <row r="41" spans="1:49" x14ac:dyDescent="0.2">
      <c r="B41" s="358"/>
      <c r="C41" s="347"/>
      <c r="D41" s="358"/>
      <c r="E41" s="358"/>
      <c r="F41" s="358"/>
      <c r="G41" s="358"/>
      <c r="H41" s="358"/>
      <c r="I41" s="358"/>
      <c r="J41" s="358"/>
      <c r="K41" s="358"/>
      <c r="L41" s="356"/>
      <c r="M41" s="356"/>
      <c r="N41" s="356"/>
      <c r="O41" s="356"/>
      <c r="P41" s="356"/>
      <c r="Q41" s="356"/>
      <c r="R41" s="356"/>
      <c r="S41" s="356"/>
      <c r="T41" s="356"/>
      <c r="U41" s="356"/>
      <c r="V41" s="356"/>
      <c r="W41" s="356"/>
      <c r="X41" s="356"/>
      <c r="Y41" s="356"/>
      <c r="Z41" s="356"/>
      <c r="AA41" s="356"/>
      <c r="AB41" s="356"/>
      <c r="AC41" s="356"/>
      <c r="AD41" s="356"/>
      <c r="AE41" s="356"/>
      <c r="AF41" s="356"/>
      <c r="AG41" s="356"/>
      <c r="AH41" s="356"/>
      <c r="AI41" s="356"/>
      <c r="AJ41" s="356"/>
      <c r="AK41" s="356"/>
      <c r="AL41" s="356"/>
      <c r="AM41" s="356"/>
      <c r="AN41" s="356"/>
      <c r="AO41" s="357"/>
      <c r="AP41" s="357"/>
      <c r="AQ41" s="357"/>
      <c r="AR41" s="356"/>
      <c r="AS41" s="356"/>
    </row>
    <row r="42" spans="1:49" x14ac:dyDescent="0.2">
      <c r="B42" s="358" t="s">
        <v>716</v>
      </c>
      <c r="C42" s="347" t="s">
        <v>707</v>
      </c>
      <c r="D42" s="370">
        <v>25.230705263950956</v>
      </c>
      <c r="E42" s="370">
        <v>25.881854263587691</v>
      </c>
      <c r="F42" s="370">
        <v>24.051199876374174</v>
      </c>
      <c r="G42" s="370">
        <v>26.233621336779954</v>
      </c>
      <c r="H42" s="370">
        <v>23.524423970153478</v>
      </c>
      <c r="I42" s="370">
        <v>25.513006532531673</v>
      </c>
      <c r="J42" s="370">
        <v>23.407699782298327</v>
      </c>
      <c r="K42" s="370">
        <v>24.937028152372452</v>
      </c>
      <c r="L42" s="370">
        <v>23.020557614414461</v>
      </c>
      <c r="M42" s="370">
        <v>24.101882853845702</v>
      </c>
      <c r="N42" s="370">
        <v>23.138934384775034</v>
      </c>
      <c r="O42" s="370">
        <v>24.648252231684843</v>
      </c>
      <c r="P42" s="370">
        <v>19.820705990674846</v>
      </c>
      <c r="Q42" s="370">
        <v>19.222522792254178</v>
      </c>
      <c r="R42" s="370">
        <v>17.549005264726095</v>
      </c>
      <c r="S42" s="370">
        <v>18.499674662323212</v>
      </c>
      <c r="T42" s="370">
        <v>16.166468371831872</v>
      </c>
      <c r="U42" s="370">
        <v>15.920580580570462</v>
      </c>
      <c r="V42" s="370">
        <v>15.920580582153949</v>
      </c>
      <c r="W42" s="370">
        <v>18.150307421689838</v>
      </c>
      <c r="X42" s="370">
        <v>16.55667445055311</v>
      </c>
      <c r="Y42" s="370">
        <v>17.29932288454005</v>
      </c>
      <c r="Z42" s="370">
        <v>17.297965319923737</v>
      </c>
      <c r="AA42" s="370">
        <v>20.529857711538433</v>
      </c>
      <c r="AB42" s="370">
        <v>18.375178095360464</v>
      </c>
      <c r="AC42" s="370">
        <v>18.805830630394503</v>
      </c>
      <c r="AD42" s="370">
        <v>17.05713100660817</v>
      </c>
      <c r="AE42" s="370">
        <v>18.809190752304367</v>
      </c>
      <c r="AF42" s="370">
        <v>16.43111205081599</v>
      </c>
      <c r="AG42" s="370">
        <v>17.699345867976241</v>
      </c>
      <c r="AH42" s="370">
        <v>15.811803785903436</v>
      </c>
      <c r="AI42" s="370">
        <v>17.07302139708802</v>
      </c>
      <c r="AJ42" s="370">
        <v>15.905816099071634</v>
      </c>
      <c r="AK42" s="370">
        <v>34.690556351392544</v>
      </c>
      <c r="AL42" s="370">
        <v>29.642897939659793</v>
      </c>
      <c r="AM42" s="370">
        <v>28.504514452558801</v>
      </c>
      <c r="AN42" s="370">
        <v>30.842814336285478</v>
      </c>
      <c r="AO42" s="371">
        <v>33.778686312383499</v>
      </c>
      <c r="AP42" s="371">
        <v>30.670793856045368</v>
      </c>
      <c r="AQ42" s="371">
        <v>33.331905807453346</v>
      </c>
      <c r="AR42" s="370">
        <v>30.12178608529333</v>
      </c>
      <c r="AS42" s="370">
        <v>31.716263813215363</v>
      </c>
    </row>
    <row r="43" spans="1:49" x14ac:dyDescent="0.2">
      <c r="B43" s="350" t="s">
        <v>715</v>
      </c>
      <c r="C43" s="347" t="s">
        <v>707</v>
      </c>
      <c r="D43" s="351">
        <v>42.135922418331525</v>
      </c>
      <c r="E43" s="351">
        <v>47.297497490330379</v>
      </c>
      <c r="F43" s="351">
        <v>46.250109691627223</v>
      </c>
      <c r="G43" s="351">
        <v>44.125620025668255</v>
      </c>
      <c r="H43" s="351">
        <v>43.29556130648669</v>
      </c>
      <c r="I43" s="351">
        <v>44.161558897177635</v>
      </c>
      <c r="J43" s="351">
        <v>41.969495606349497</v>
      </c>
      <c r="K43" s="351">
        <v>43.399482627210958</v>
      </c>
      <c r="L43" s="351">
        <v>41.914501579906485</v>
      </c>
      <c r="M43" s="351">
        <v>43.490270577548841</v>
      </c>
      <c r="N43" s="351">
        <v>41.191965444919475</v>
      </c>
      <c r="O43" s="351">
        <v>40.30159278903632</v>
      </c>
      <c r="P43" s="351">
        <v>39.240493412261358</v>
      </c>
      <c r="Q43" s="351">
        <v>40.476610478379264</v>
      </c>
      <c r="R43" s="351">
        <v>39.489457600458444</v>
      </c>
      <c r="S43" s="351">
        <v>39.563215982302772</v>
      </c>
      <c r="T43" s="351">
        <v>36.135276447870197</v>
      </c>
      <c r="U43" s="351">
        <v>36.404951813735593</v>
      </c>
      <c r="V43" s="351">
        <v>34.119665162113058</v>
      </c>
      <c r="W43" s="351">
        <v>33.45749603684385</v>
      </c>
      <c r="X43" s="351">
        <v>31.55627023526224</v>
      </c>
      <c r="Y43" s="351">
        <v>32.625252124545014</v>
      </c>
      <c r="Z43" s="351">
        <v>32.640442963887672</v>
      </c>
      <c r="AA43" s="351">
        <v>31.851476454872657</v>
      </c>
      <c r="AB43" s="351">
        <v>31.309869009201869</v>
      </c>
      <c r="AC43" s="351">
        <v>32.114189161696515</v>
      </c>
      <c r="AD43" s="351">
        <v>31.906380228521279</v>
      </c>
      <c r="AE43" s="351">
        <v>35.136429310755773</v>
      </c>
      <c r="AF43" s="352">
        <v>33.544628706275539</v>
      </c>
      <c r="AG43" s="352">
        <v>34.251680444273646</v>
      </c>
      <c r="AH43" s="352">
        <v>31.879671054835843</v>
      </c>
      <c r="AI43" s="352">
        <v>32.819254878807513</v>
      </c>
      <c r="AJ43" s="352">
        <v>29.317491730733831</v>
      </c>
      <c r="AK43" s="352">
        <v>31.697012048245917</v>
      </c>
      <c r="AL43" s="352">
        <v>29.500257864680169</v>
      </c>
      <c r="AM43" s="352">
        <v>30.28352359438686</v>
      </c>
      <c r="AN43" s="352">
        <v>30.322700403566422</v>
      </c>
      <c r="AO43" s="443">
        <v>44.50138785744462</v>
      </c>
      <c r="AP43" s="443">
        <v>40.74062350990738</v>
      </c>
      <c r="AQ43" s="444">
        <v>42.634812318324535</v>
      </c>
      <c r="AR43" s="444">
        <v>47.196531864079496</v>
      </c>
      <c r="AS43" s="444">
        <v>49.662226904666944</v>
      </c>
      <c r="AT43" s="444">
        <v>49.820091748311256</v>
      </c>
      <c r="AU43" s="444">
        <v>55.829307580368301</v>
      </c>
      <c r="AV43" s="444">
        <v>51.546297693169585</v>
      </c>
      <c r="AW43" s="444">
        <v>54.633360247602738</v>
      </c>
    </row>
    <row r="44" spans="1:49" x14ac:dyDescent="0.2">
      <c r="A44" s="376"/>
      <c r="B44" s="377"/>
      <c r="C44" s="378"/>
      <c r="D44" s="377"/>
      <c r="E44" s="377"/>
      <c r="F44" s="377"/>
      <c r="G44" s="377"/>
      <c r="H44" s="377"/>
      <c r="I44" s="377"/>
      <c r="J44" s="377"/>
      <c r="K44" s="377"/>
      <c r="L44" s="379"/>
      <c r="M44" s="379"/>
      <c r="N44" s="379"/>
      <c r="O44" s="379"/>
      <c r="P44" s="379"/>
      <c r="Q44" s="379"/>
      <c r="R44" s="379"/>
      <c r="S44" s="379"/>
      <c r="T44" s="379"/>
      <c r="U44" s="379"/>
      <c r="V44" s="379"/>
      <c r="W44" s="379"/>
      <c r="X44" s="379"/>
      <c r="Y44" s="379"/>
      <c r="Z44" s="379"/>
      <c r="AA44" s="379"/>
      <c r="AB44" s="379"/>
      <c r="AC44" s="379"/>
      <c r="AD44" s="379"/>
      <c r="AE44" s="379"/>
      <c r="AF44" s="379"/>
      <c r="AG44" s="379"/>
      <c r="AH44" s="379"/>
      <c r="AI44" s="379"/>
      <c r="AJ44" s="379"/>
      <c r="AK44" s="379"/>
      <c r="AL44" s="379"/>
      <c r="AM44" s="379"/>
      <c r="AN44" s="379"/>
      <c r="AO44" s="380"/>
      <c r="AP44" s="380"/>
      <c r="AQ44" s="380"/>
      <c r="AR44" s="379"/>
      <c r="AS44" s="379"/>
    </row>
    <row r="45" spans="1:49" x14ac:dyDescent="0.2">
      <c r="B45" s="358"/>
      <c r="C45" s="347"/>
      <c r="D45" s="358"/>
      <c r="E45" s="358"/>
      <c r="F45" s="358"/>
      <c r="G45" s="358"/>
      <c r="H45" s="358"/>
      <c r="I45" s="358"/>
      <c r="J45" s="358"/>
      <c r="K45" s="358"/>
      <c r="L45" s="356"/>
      <c r="M45" s="356"/>
      <c r="N45" s="356"/>
      <c r="O45" s="356"/>
      <c r="P45" s="356"/>
      <c r="Q45" s="356"/>
      <c r="R45" s="356"/>
      <c r="S45" s="356"/>
      <c r="T45" s="356"/>
      <c r="U45" s="356"/>
      <c r="V45" s="356"/>
      <c r="W45" s="356"/>
      <c r="X45" s="356"/>
      <c r="Y45" s="356"/>
      <c r="Z45" s="356"/>
      <c r="AA45" s="356"/>
      <c r="AB45" s="356"/>
      <c r="AC45" s="356"/>
      <c r="AD45" s="356"/>
      <c r="AE45" s="356"/>
      <c r="AF45" s="356"/>
      <c r="AG45" s="356"/>
      <c r="AH45" s="356"/>
      <c r="AI45" s="356"/>
      <c r="AJ45" s="356"/>
      <c r="AK45" s="356"/>
      <c r="AL45" s="356"/>
      <c r="AM45" s="356"/>
      <c r="AN45" s="356"/>
      <c r="AO45" s="357"/>
      <c r="AP45" s="357"/>
      <c r="AQ45" s="357"/>
      <c r="AR45" s="356"/>
      <c r="AS45" s="356"/>
    </row>
    <row r="46" spans="1:49" x14ac:dyDescent="0.2">
      <c r="B46" s="358"/>
      <c r="C46" s="347"/>
      <c r="D46" s="358"/>
      <c r="E46" s="358"/>
      <c r="F46" s="358"/>
      <c r="G46" s="358"/>
      <c r="H46" s="358"/>
      <c r="I46" s="358"/>
      <c r="J46" s="358"/>
      <c r="K46" s="358"/>
      <c r="L46" s="356"/>
      <c r="M46" s="356"/>
      <c r="N46" s="356"/>
      <c r="O46" s="356"/>
      <c r="P46" s="356"/>
      <c r="Q46" s="356"/>
      <c r="R46" s="356"/>
      <c r="S46" s="356"/>
      <c r="T46" s="356"/>
      <c r="U46" s="356"/>
      <c r="V46" s="356"/>
      <c r="W46" s="356"/>
      <c r="X46" s="356"/>
      <c r="Y46" s="356"/>
      <c r="Z46" s="356"/>
      <c r="AA46" s="356"/>
      <c r="AB46" s="356"/>
      <c r="AC46" s="356"/>
      <c r="AD46" s="356"/>
      <c r="AE46" s="356"/>
      <c r="AF46" s="356"/>
      <c r="AG46" s="356"/>
      <c r="AH46" s="356"/>
      <c r="AI46" s="356"/>
      <c r="AJ46" s="356"/>
      <c r="AK46" s="356"/>
      <c r="AL46" s="356"/>
      <c r="AM46" s="356"/>
      <c r="AN46" s="356"/>
      <c r="AO46" s="357"/>
      <c r="AP46" s="357"/>
      <c r="AQ46" s="357"/>
      <c r="AR46" s="356"/>
      <c r="AS46" s="356"/>
    </row>
    <row r="47" spans="1:49" ht="15.5" customHeight="1" x14ac:dyDescent="0.2">
      <c r="B47" s="1196" t="s">
        <v>1210</v>
      </c>
      <c r="C47" s="1198" t="s">
        <v>1211</v>
      </c>
      <c r="D47" s="1198"/>
      <c r="E47" s="1198"/>
      <c r="F47" s="1198"/>
      <c r="G47" s="1198"/>
      <c r="H47" s="1198"/>
      <c r="I47" s="1198"/>
      <c r="J47" s="1198"/>
      <c r="K47" s="1198"/>
      <c r="L47" s="1198"/>
      <c r="M47" s="1198"/>
      <c r="N47" s="1198"/>
      <c r="O47" s="1198"/>
      <c r="P47" s="1198"/>
      <c r="Q47" s="356"/>
      <c r="R47" s="356"/>
      <c r="S47" s="356"/>
      <c r="T47" s="356"/>
      <c r="U47" s="356"/>
      <c r="V47" s="356"/>
      <c r="W47" s="356"/>
      <c r="X47" s="356"/>
      <c r="Y47" s="356"/>
      <c r="Z47" s="356"/>
      <c r="AA47" s="356"/>
      <c r="AB47" s="356"/>
      <c r="AC47" s="356"/>
      <c r="AD47" s="356"/>
      <c r="AE47" s="356"/>
      <c r="AF47" s="356"/>
      <c r="AG47" s="356"/>
      <c r="AH47" s="356"/>
      <c r="AI47" s="356"/>
      <c r="AJ47" s="356"/>
      <c r="AK47" s="356"/>
      <c r="AL47" s="356"/>
      <c r="AM47" s="356"/>
      <c r="AN47" s="356"/>
      <c r="AO47" s="357"/>
      <c r="AP47" s="357"/>
      <c r="AQ47" s="357"/>
      <c r="AR47" s="356"/>
      <c r="AS47" s="356"/>
    </row>
    <row r="48" spans="1:49" x14ac:dyDescent="0.2">
      <c r="B48" s="1196"/>
      <c r="C48" s="1198"/>
      <c r="D48" s="1198"/>
      <c r="E48" s="1198"/>
      <c r="F48" s="1198"/>
      <c r="G48" s="1198"/>
      <c r="H48" s="1198"/>
      <c r="I48" s="1198"/>
      <c r="J48" s="1198"/>
      <c r="K48" s="1198"/>
      <c r="L48" s="1198"/>
      <c r="M48" s="1198"/>
      <c r="N48" s="1198"/>
      <c r="O48" s="1198"/>
      <c r="P48" s="1198"/>
      <c r="Q48" s="356"/>
      <c r="R48" s="356"/>
      <c r="S48" s="356"/>
      <c r="T48" s="356"/>
      <c r="U48" s="356"/>
      <c r="V48" s="356"/>
      <c r="W48" s="356"/>
      <c r="X48" s="356"/>
      <c r="Y48" s="356"/>
      <c r="Z48" s="356"/>
      <c r="AA48" s="356"/>
      <c r="AB48" s="356"/>
      <c r="AC48" s="356"/>
      <c r="AD48" s="356"/>
      <c r="AE48" s="356"/>
      <c r="AF48" s="356"/>
      <c r="AG48" s="356"/>
      <c r="AH48" s="356"/>
      <c r="AI48" s="356"/>
      <c r="AJ48" s="356"/>
      <c r="AK48" s="356"/>
      <c r="AL48" s="356"/>
      <c r="AM48" s="356"/>
      <c r="AN48" s="356"/>
      <c r="AO48" s="357"/>
      <c r="AP48" s="357"/>
      <c r="AQ48" s="357"/>
      <c r="AR48" s="356"/>
      <c r="AS48" s="356"/>
    </row>
    <row r="50" spans="1:33" x14ac:dyDescent="0.2">
      <c r="A50" s="1206" t="s">
        <v>1212</v>
      </c>
      <c r="B50" s="1207"/>
      <c r="C50" s="381" t="s">
        <v>675</v>
      </c>
      <c r="D50" s="109" t="s">
        <v>1213</v>
      </c>
      <c r="E50" s="109" t="s">
        <v>1214</v>
      </c>
      <c r="F50" s="109" t="s">
        <v>1215</v>
      </c>
      <c r="G50" s="109" t="s">
        <v>1216</v>
      </c>
      <c r="H50" s="109" t="s">
        <v>1217</v>
      </c>
      <c r="I50" s="109" t="s">
        <v>1218</v>
      </c>
      <c r="J50" s="109" t="s">
        <v>1219</v>
      </c>
      <c r="K50" s="109" t="s">
        <v>1220</v>
      </c>
      <c r="L50" s="109" t="s">
        <v>1221</v>
      </c>
      <c r="M50" s="109" t="s">
        <v>1222</v>
      </c>
      <c r="N50" s="109" t="s">
        <v>1223</v>
      </c>
      <c r="O50" s="109" t="s">
        <v>1224</v>
      </c>
      <c r="P50" s="109" t="s">
        <v>1225</v>
      </c>
      <c r="Q50" s="109" t="s">
        <v>1226</v>
      </c>
      <c r="R50" s="109" t="s">
        <v>1227</v>
      </c>
      <c r="S50" s="109" t="s">
        <v>1228</v>
      </c>
      <c r="T50" s="109" t="s">
        <v>1229</v>
      </c>
      <c r="U50" s="109" t="s">
        <v>1230</v>
      </c>
      <c r="V50" s="109" t="s">
        <v>1231</v>
      </c>
      <c r="W50" s="109" t="s">
        <v>1232</v>
      </c>
      <c r="X50" s="109" t="s">
        <v>1233</v>
      </c>
      <c r="Y50" s="109" t="s">
        <v>1234</v>
      </c>
      <c r="Z50" s="109" t="s">
        <v>1235</v>
      </c>
      <c r="AA50" s="109" t="s">
        <v>1236</v>
      </c>
      <c r="AB50" s="109" t="s">
        <v>1237</v>
      </c>
      <c r="AC50" s="109" t="s">
        <v>1238</v>
      </c>
      <c r="AD50" s="109" t="s">
        <v>1239</v>
      </c>
      <c r="AE50" s="109" t="s">
        <v>1240</v>
      </c>
      <c r="AF50" s="109" t="s">
        <v>1241</v>
      </c>
      <c r="AG50" s="109" t="s">
        <v>1242</v>
      </c>
    </row>
    <row r="51" spans="1:33" x14ac:dyDescent="0.2">
      <c r="A51" s="1208"/>
      <c r="B51" s="1209"/>
      <c r="C51" s="342"/>
      <c r="D51" s="342"/>
      <c r="E51" s="343"/>
      <c r="F51" s="343"/>
      <c r="G51" s="343"/>
      <c r="H51" s="343"/>
      <c r="I51" s="343"/>
      <c r="J51" s="343"/>
      <c r="K51" s="343"/>
      <c r="L51" s="343"/>
      <c r="M51" s="343"/>
      <c r="N51" s="343"/>
      <c r="O51" s="343"/>
      <c r="P51" s="343"/>
      <c r="Q51" s="343"/>
      <c r="R51" s="343"/>
      <c r="S51" s="343"/>
      <c r="T51" s="343"/>
      <c r="U51" s="343"/>
      <c r="V51" s="343"/>
      <c r="W51" s="343"/>
      <c r="X51" s="343"/>
      <c r="Y51" s="343"/>
      <c r="Z51" s="343"/>
      <c r="AA51" s="343"/>
      <c r="AB51" s="343"/>
      <c r="AC51" s="343"/>
      <c r="AD51" s="343"/>
      <c r="AE51" s="343"/>
      <c r="AF51" s="343"/>
      <c r="AG51" s="343"/>
    </row>
    <row r="52" spans="1:33" x14ac:dyDescent="0.2">
      <c r="B52" s="346" t="s">
        <v>96</v>
      </c>
      <c r="C52" s="347" t="s">
        <v>700</v>
      </c>
      <c r="D52" s="348">
        <v>12061.478493000001</v>
      </c>
      <c r="E52" s="348">
        <v>16411.409</v>
      </c>
      <c r="F52" s="348">
        <v>15872.121999999999</v>
      </c>
      <c r="G52" s="348">
        <v>12464.044</v>
      </c>
      <c r="H52" s="348">
        <v>12454.085288959999</v>
      </c>
      <c r="I52" s="348">
        <v>15437.820769</v>
      </c>
      <c r="J52" s="348">
        <v>15828.637882069999</v>
      </c>
      <c r="K52" s="348">
        <v>14239.3897505</v>
      </c>
      <c r="L52" s="348">
        <v>12764.82563288</v>
      </c>
      <c r="M52" s="348">
        <v>15524.041014120001</v>
      </c>
      <c r="N52" s="348">
        <v>15851.8840510599</v>
      </c>
      <c r="O52" s="348">
        <v>14521.122853719999</v>
      </c>
      <c r="P52" s="348">
        <v>14535.245471820001</v>
      </c>
      <c r="Q52" s="348">
        <v>15518.452227249902</v>
      </c>
      <c r="R52" s="348">
        <v>15665.260917149999</v>
      </c>
      <c r="S52" s="348">
        <v>16082.04402207</v>
      </c>
      <c r="T52" s="348">
        <v>14170.702714290001</v>
      </c>
      <c r="U52" s="348">
        <v>16630.1505026501</v>
      </c>
      <c r="V52" s="348">
        <v>17178.576206129997</v>
      </c>
      <c r="W52" s="348">
        <v>17182.632301740003</v>
      </c>
      <c r="X52" s="348">
        <v>13360.223063290001</v>
      </c>
      <c r="Y52" s="348">
        <v>14235.150176860001</v>
      </c>
      <c r="Z52" s="348">
        <v>14620.266988849899</v>
      </c>
      <c r="AA52" s="348">
        <v>12729.97836693</v>
      </c>
      <c r="AB52" s="348">
        <v>15415.907398249999</v>
      </c>
      <c r="AC52" s="348">
        <v>19980.46975643</v>
      </c>
      <c r="AD52" s="348">
        <v>22935.811708839999</v>
      </c>
      <c r="AE52" s="348">
        <v>19654.524282930099</v>
      </c>
      <c r="AF52" s="348">
        <v>19370.063522479999</v>
      </c>
      <c r="AG52" s="348">
        <v>25040.715815659998</v>
      </c>
    </row>
    <row r="53" spans="1:33" x14ac:dyDescent="0.2">
      <c r="B53" s="346" t="s">
        <v>6</v>
      </c>
      <c r="C53" s="347" t="s">
        <v>700</v>
      </c>
      <c r="D53" s="348">
        <v>42509.4</v>
      </c>
      <c r="E53" s="348">
        <v>51312.2</v>
      </c>
      <c r="F53" s="348">
        <v>49824.7</v>
      </c>
      <c r="G53" s="348">
        <v>46267.7</v>
      </c>
      <c r="H53" s="348">
        <v>40284.1</v>
      </c>
      <c r="I53" s="348">
        <v>49364.7</v>
      </c>
      <c r="J53" s="348">
        <v>48892.6</v>
      </c>
      <c r="K53" s="348">
        <v>45725.5</v>
      </c>
      <c r="L53" s="348">
        <v>50485</v>
      </c>
      <c r="M53" s="348">
        <v>57307.9</v>
      </c>
      <c r="N53" s="348">
        <v>56977.5</v>
      </c>
      <c r="O53" s="348">
        <v>53230.1</v>
      </c>
      <c r="P53" s="348">
        <v>54777.3</v>
      </c>
      <c r="Q53" s="348">
        <v>59205.2</v>
      </c>
      <c r="R53" s="348">
        <v>63303.5</v>
      </c>
      <c r="S53" s="348">
        <v>62233.599999999999</v>
      </c>
      <c r="T53" s="348">
        <v>51231.7</v>
      </c>
      <c r="U53" s="348">
        <v>58348.6</v>
      </c>
      <c r="V53" s="348">
        <v>60253.2</v>
      </c>
      <c r="W53" s="348">
        <v>55966.1</v>
      </c>
      <c r="X53" s="348">
        <v>48569.5</v>
      </c>
      <c r="Y53" s="348">
        <v>52837.5</v>
      </c>
      <c r="Z53" s="348">
        <v>55372.1</v>
      </c>
      <c r="AA53" s="348">
        <v>53927.9</v>
      </c>
      <c r="AB53" s="348">
        <v>56160</v>
      </c>
      <c r="AC53" s="348">
        <v>81852.5</v>
      </c>
      <c r="AD53" s="348">
        <v>77753.399999999994</v>
      </c>
      <c r="AE53" s="348">
        <v>68245.899999999994</v>
      </c>
      <c r="AF53" s="348">
        <v>73392.399999999994</v>
      </c>
      <c r="AG53" s="348">
        <v>92415.4</v>
      </c>
    </row>
    <row r="54" spans="1:33" x14ac:dyDescent="0.2">
      <c r="B54" s="346" t="s">
        <v>1243</v>
      </c>
      <c r="C54" s="347" t="s">
        <v>700</v>
      </c>
      <c r="D54" s="348">
        <v>10053.223831192699</v>
      </c>
      <c r="E54" s="348">
        <v>10372.043628654399</v>
      </c>
      <c r="F54" s="348">
        <v>9513.2203181438508</v>
      </c>
      <c r="G54" s="348">
        <v>8633.62530436417</v>
      </c>
      <c r="H54" s="348">
        <v>7192.4508444518497</v>
      </c>
      <c r="I54" s="348">
        <v>8776.9628283779602</v>
      </c>
      <c r="J54" s="348">
        <v>8765.7009159358404</v>
      </c>
      <c r="K54" s="348">
        <v>9328.1190104615598</v>
      </c>
      <c r="L54" s="348">
        <v>9187.2188418151709</v>
      </c>
      <c r="M54" s="348">
        <v>9472.8324916209112</v>
      </c>
      <c r="N54" s="348">
        <v>10177.635320688199</v>
      </c>
      <c r="O54" s="348">
        <v>10947.9259700482</v>
      </c>
      <c r="P54" s="348">
        <v>9968.0722567861012</v>
      </c>
      <c r="Q54" s="348">
        <v>11149.534203314601</v>
      </c>
      <c r="R54" s="348">
        <v>11061.466919667901</v>
      </c>
      <c r="S54" s="348">
        <v>10813.975972992901</v>
      </c>
      <c r="T54" s="348">
        <v>9933.3520963101801</v>
      </c>
      <c r="U54" s="348">
        <v>11017.863595335501</v>
      </c>
      <c r="V54" s="348">
        <v>9897.1879088542591</v>
      </c>
      <c r="W54" s="348">
        <v>9807.1970590800902</v>
      </c>
      <c r="X54" s="348">
        <v>9065.8729165938294</v>
      </c>
      <c r="Y54" s="348">
        <v>6849.7780910420906</v>
      </c>
      <c r="Z54" s="348">
        <v>7912.9262089240201</v>
      </c>
      <c r="AA54" s="348">
        <v>8480.3899783177694</v>
      </c>
      <c r="AB54" s="348">
        <v>9278.5691660379689</v>
      </c>
      <c r="AC54" s="348">
        <v>9542.7400368747803</v>
      </c>
      <c r="AD54" s="348">
        <v>11075.900373303801</v>
      </c>
      <c r="AE54" s="348">
        <v>12838.364869958299</v>
      </c>
      <c r="AF54" s="348">
        <v>13763.6215653463</v>
      </c>
      <c r="AG54" s="348">
        <v>16489.112222072701</v>
      </c>
    </row>
    <row r="55" spans="1:33" x14ac:dyDescent="0.2">
      <c r="B55" s="346" t="s">
        <v>1191</v>
      </c>
      <c r="C55" s="347" t="s">
        <v>700</v>
      </c>
      <c r="D55" s="348">
        <v>17139.2</v>
      </c>
      <c r="E55" s="348">
        <v>16110.2</v>
      </c>
      <c r="F55" s="348">
        <v>14246.2</v>
      </c>
      <c r="G55" s="348">
        <v>14624.7</v>
      </c>
      <c r="H55" s="348">
        <v>15083.1</v>
      </c>
      <c r="I55" s="348">
        <v>14818.1</v>
      </c>
      <c r="J55" s="348">
        <v>14528.4</v>
      </c>
      <c r="K55" s="348">
        <v>16339.9</v>
      </c>
      <c r="L55" s="348">
        <v>15704.4</v>
      </c>
      <c r="M55" s="348">
        <v>16393.400000000001</v>
      </c>
      <c r="N55" s="348">
        <v>17573.599999999999</v>
      </c>
      <c r="O55" s="348">
        <v>19232.8</v>
      </c>
      <c r="P55" s="348">
        <v>19406.900000000001</v>
      </c>
      <c r="Q55" s="348">
        <v>18949.599999999999</v>
      </c>
      <c r="R55" s="348">
        <v>17621.599999999999</v>
      </c>
      <c r="S55" s="348">
        <v>18860</v>
      </c>
      <c r="T55" s="348">
        <v>18259.2</v>
      </c>
      <c r="U55" s="348">
        <v>17022</v>
      </c>
      <c r="V55" s="348">
        <v>16697</v>
      </c>
      <c r="W55" s="348">
        <v>16814.2</v>
      </c>
      <c r="X55" s="348">
        <v>17215.2</v>
      </c>
      <c r="Y55" s="348">
        <v>17643.3</v>
      </c>
      <c r="Z55" s="348">
        <v>17835.5</v>
      </c>
      <c r="AA55" s="348">
        <v>21391.8</v>
      </c>
      <c r="AB55" s="348">
        <v>22145</v>
      </c>
      <c r="AC55" s="348">
        <v>23788.6</v>
      </c>
      <c r="AD55" s="348">
        <v>23462.7</v>
      </c>
      <c r="AE55" s="348">
        <v>25280.3</v>
      </c>
      <c r="AF55" s="348">
        <v>24585.7</v>
      </c>
      <c r="AG55" s="348">
        <v>25294.3</v>
      </c>
    </row>
    <row r="56" spans="1:33" x14ac:dyDescent="0.2">
      <c r="B56" s="350" t="s">
        <v>1244</v>
      </c>
      <c r="C56" s="347" t="s">
        <v>700</v>
      </c>
      <c r="D56" s="348">
        <v>5062</v>
      </c>
      <c r="E56" s="348">
        <v>5115.1000000000004</v>
      </c>
      <c r="F56" s="348">
        <v>4612.7</v>
      </c>
      <c r="G56" s="348">
        <v>4253</v>
      </c>
      <c r="H56" s="348">
        <v>3783.4</v>
      </c>
      <c r="I56" s="348">
        <v>4457.3</v>
      </c>
      <c r="J56" s="348">
        <v>4396.6000000000004</v>
      </c>
      <c r="K56" s="348">
        <v>4776.2</v>
      </c>
      <c r="L56" s="348">
        <v>4831.6000000000004</v>
      </c>
      <c r="M56" s="348">
        <v>4776.6000000000004</v>
      </c>
      <c r="N56" s="348">
        <v>4731.7</v>
      </c>
      <c r="O56" s="348">
        <v>5209.2</v>
      </c>
      <c r="P56" s="348">
        <v>5320</v>
      </c>
      <c r="Q56" s="348">
        <v>5656.8</v>
      </c>
      <c r="R56" s="348">
        <v>5706.7</v>
      </c>
      <c r="S56" s="348">
        <v>5473.7</v>
      </c>
      <c r="T56" s="348">
        <v>5362.7</v>
      </c>
      <c r="U56" s="348">
        <v>5877.4</v>
      </c>
      <c r="V56" s="348">
        <v>5801.2</v>
      </c>
      <c r="W56" s="348">
        <v>5732.5</v>
      </c>
      <c r="X56" s="348">
        <v>5537.3</v>
      </c>
      <c r="Y56" s="348">
        <v>4224.6000000000004</v>
      </c>
      <c r="Z56" s="348">
        <v>5202.6000000000004</v>
      </c>
      <c r="AA56" s="348">
        <v>5626.8</v>
      </c>
      <c r="AB56" s="348">
        <v>5954.2</v>
      </c>
      <c r="AC56" s="348">
        <v>6855.8</v>
      </c>
      <c r="AD56" s="348">
        <v>6989.7</v>
      </c>
      <c r="AE56" s="348">
        <v>7436.2</v>
      </c>
      <c r="AF56" s="348">
        <v>8231.1</v>
      </c>
      <c r="AG56" s="348">
        <v>9007.7999999999993</v>
      </c>
    </row>
    <row r="57" spans="1:33" x14ac:dyDescent="0.2">
      <c r="B57" s="355" t="s">
        <v>1245</v>
      </c>
      <c r="C57" s="347" t="s">
        <v>700</v>
      </c>
      <c r="D57" s="348">
        <v>8147.8201347918703</v>
      </c>
      <c r="E57" s="348">
        <v>8282.926193442021</v>
      </c>
      <c r="F57" s="348">
        <v>8639.1256673542593</v>
      </c>
      <c r="G57" s="348">
        <v>9344.4825297180305</v>
      </c>
      <c r="H57" s="348">
        <v>7753.8065728695501</v>
      </c>
      <c r="I57" s="348">
        <v>8366.399870929281</v>
      </c>
      <c r="J57" s="348">
        <v>9875.0571113140504</v>
      </c>
      <c r="K57" s="348">
        <v>11086.474487219</v>
      </c>
      <c r="L57" s="348">
        <v>10173.396543660299</v>
      </c>
      <c r="M57" s="348">
        <v>10556.2355122718</v>
      </c>
      <c r="N57" s="348">
        <v>11908.293090590201</v>
      </c>
      <c r="O57" s="348">
        <v>12783.668297951299</v>
      </c>
      <c r="P57" s="348">
        <v>11951.1</v>
      </c>
      <c r="Q57" s="348">
        <v>12592.7701463536</v>
      </c>
      <c r="R57" s="348">
        <v>12042.2419002067</v>
      </c>
      <c r="S57" s="348">
        <v>12480.357842174401</v>
      </c>
      <c r="T57" s="348">
        <v>11212.7889901292</v>
      </c>
      <c r="U57" s="348">
        <v>11575.3688539428</v>
      </c>
      <c r="V57" s="348">
        <v>12137.2107411337</v>
      </c>
      <c r="W57" s="348">
        <v>13055.086231733101</v>
      </c>
      <c r="X57" s="348">
        <v>10280.414137904199</v>
      </c>
      <c r="Y57" s="348">
        <v>6770.8549666219997</v>
      </c>
      <c r="Z57" s="348">
        <v>11707.189508966499</v>
      </c>
      <c r="AA57" s="348">
        <v>14146.8459323979</v>
      </c>
      <c r="AB57" s="348">
        <v>13648.263030651899</v>
      </c>
      <c r="AC57" s="348">
        <v>14564.562253205999</v>
      </c>
      <c r="AD57" s="348">
        <v>16565.253478594699</v>
      </c>
      <c r="AE57" s="348">
        <v>18372.758510556301</v>
      </c>
      <c r="AF57" s="348">
        <v>17047.661962223799</v>
      </c>
      <c r="AG57" s="348">
        <v>16185.547440021099</v>
      </c>
    </row>
    <row r="58" spans="1:33" x14ac:dyDescent="0.2">
      <c r="B58" s="359"/>
      <c r="C58" s="347"/>
      <c r="D58" s="348"/>
      <c r="E58" s="348"/>
      <c r="F58" s="348"/>
      <c r="G58" s="348"/>
      <c r="H58" s="348"/>
      <c r="I58" s="348"/>
      <c r="J58" s="348"/>
      <c r="K58" s="348"/>
      <c r="L58" s="348"/>
      <c r="M58" s="348"/>
      <c r="N58" s="348"/>
      <c r="O58" s="348"/>
      <c r="P58" s="348"/>
      <c r="Q58" s="348"/>
      <c r="R58" s="348"/>
      <c r="S58" s="348"/>
      <c r="T58" s="348"/>
      <c r="U58" s="348"/>
      <c r="V58" s="348"/>
      <c r="W58" s="348"/>
      <c r="X58" s="348"/>
      <c r="Y58" s="348"/>
      <c r="Z58" s="348"/>
      <c r="AA58" s="348"/>
      <c r="AB58" s="348"/>
      <c r="AC58" s="348"/>
      <c r="AD58" s="348"/>
      <c r="AE58" s="348"/>
      <c r="AF58" s="348"/>
      <c r="AG58" s="348"/>
    </row>
    <row r="59" spans="1:33" x14ac:dyDescent="0.2">
      <c r="B59" s="355" t="s">
        <v>1246</v>
      </c>
      <c r="C59" s="347" t="s">
        <v>700</v>
      </c>
      <c r="D59" s="348">
        <f t="shared" ref="D59:AG59" si="7">+SUM(D52:D57)</f>
        <v>94973.122458984566</v>
      </c>
      <c r="E59" s="348">
        <f t="shared" si="7"/>
        <v>107603.87882209642</v>
      </c>
      <c r="F59" s="348">
        <f t="shared" si="7"/>
        <v>102708.06798549811</v>
      </c>
      <c r="G59" s="348">
        <f t="shared" si="7"/>
        <v>95587.551834082202</v>
      </c>
      <c r="H59" s="348">
        <f t="shared" si="7"/>
        <v>86550.942706281392</v>
      </c>
      <c r="I59" s="348">
        <f t="shared" si="7"/>
        <v>101221.28346830724</v>
      </c>
      <c r="J59" s="348">
        <f t="shared" si="7"/>
        <v>102286.99590931988</v>
      </c>
      <c r="K59" s="348">
        <f t="shared" si="7"/>
        <v>101495.58324818056</v>
      </c>
      <c r="L59" s="348">
        <f t="shared" si="7"/>
        <v>103146.44101835547</v>
      </c>
      <c r="M59" s="348">
        <f t="shared" si="7"/>
        <v>114031.00901801272</v>
      </c>
      <c r="N59" s="348">
        <f t="shared" si="7"/>
        <v>117220.61246233829</v>
      </c>
      <c r="O59" s="348">
        <f t="shared" si="7"/>
        <v>115924.81712171949</v>
      </c>
      <c r="P59" s="348">
        <f t="shared" si="7"/>
        <v>115958.6177286061</v>
      </c>
      <c r="Q59" s="348">
        <f t="shared" si="7"/>
        <v>123072.3565769181</v>
      </c>
      <c r="R59" s="348">
        <f t="shared" si="7"/>
        <v>125400.76973702459</v>
      </c>
      <c r="S59" s="348">
        <f t="shared" si="7"/>
        <v>125943.67783723731</v>
      </c>
      <c r="T59" s="348">
        <f t="shared" si="7"/>
        <v>110170.44380072938</v>
      </c>
      <c r="U59" s="348">
        <f t="shared" si="7"/>
        <v>120471.38295192839</v>
      </c>
      <c r="V59" s="348">
        <f t="shared" si="7"/>
        <v>121964.37485611795</v>
      </c>
      <c r="W59" s="348">
        <f t="shared" si="7"/>
        <v>118557.7155925532</v>
      </c>
      <c r="X59" s="348">
        <f t="shared" si="7"/>
        <v>104028.51011778803</v>
      </c>
      <c r="Y59" s="348">
        <f t="shared" si="7"/>
        <v>102561.1832345241</v>
      </c>
      <c r="Z59" s="348">
        <f t="shared" si="7"/>
        <v>112650.58270674043</v>
      </c>
      <c r="AA59" s="348">
        <f t="shared" si="7"/>
        <v>116303.71427764569</v>
      </c>
      <c r="AB59" s="348">
        <f t="shared" si="7"/>
        <v>122601.93959493986</v>
      </c>
      <c r="AC59" s="348">
        <f t="shared" si="7"/>
        <v>156584.67204651076</v>
      </c>
      <c r="AD59" s="348">
        <f t="shared" si="7"/>
        <v>158782.76556073851</v>
      </c>
      <c r="AE59" s="348">
        <f t="shared" si="7"/>
        <v>151828.04766344471</v>
      </c>
      <c r="AF59" s="348">
        <f t="shared" si="7"/>
        <v>156390.54705005008</v>
      </c>
      <c r="AG59" s="348">
        <f t="shared" si="7"/>
        <v>184432.87547775375</v>
      </c>
    </row>
    <row r="60" spans="1:33" x14ac:dyDescent="0.2">
      <c r="B60" s="359"/>
      <c r="C60" s="347"/>
      <c r="D60" s="348"/>
      <c r="E60" s="348"/>
      <c r="F60" s="348"/>
      <c r="G60" s="348"/>
      <c r="H60" s="348"/>
      <c r="I60" s="348"/>
      <c r="J60" s="348"/>
      <c r="K60" s="348"/>
      <c r="L60" s="348"/>
      <c r="M60" s="348"/>
      <c r="N60" s="348"/>
      <c r="O60" s="348"/>
      <c r="P60" s="348"/>
      <c r="Q60" s="348"/>
      <c r="R60" s="348"/>
      <c r="S60" s="348"/>
      <c r="T60" s="348"/>
      <c r="U60" s="348"/>
      <c r="V60" s="348"/>
      <c r="W60" s="348"/>
      <c r="X60" s="348"/>
      <c r="Y60" s="348"/>
      <c r="Z60" s="348"/>
      <c r="AA60" s="348"/>
      <c r="AB60" s="348"/>
      <c r="AC60" s="348"/>
      <c r="AD60" s="348"/>
      <c r="AE60" s="348"/>
      <c r="AF60" s="348"/>
      <c r="AG60" s="348"/>
    </row>
    <row r="61" spans="1:33" x14ac:dyDescent="0.2">
      <c r="B61" s="355" t="s">
        <v>617</v>
      </c>
      <c r="C61" s="347" t="s">
        <v>700</v>
      </c>
      <c r="D61" s="361">
        <v>350.322</v>
      </c>
      <c r="E61" s="361">
        <v>334.44499999999994</v>
      </c>
      <c r="F61" s="361">
        <v>309.78100000000001</v>
      </c>
      <c r="G61" s="361">
        <v>334.88300000000004</v>
      </c>
      <c r="H61" s="361">
        <v>275.96699999999998</v>
      </c>
      <c r="I61" s="361">
        <v>260.01</v>
      </c>
      <c r="J61" s="361">
        <v>264.46978213534021</v>
      </c>
      <c r="K61" s="361">
        <v>309.05399999999969</v>
      </c>
      <c r="L61" s="361">
        <v>253.74599999999998</v>
      </c>
      <c r="M61" s="361">
        <v>256.51099999999997</v>
      </c>
      <c r="N61" s="361">
        <v>272.15300000000002</v>
      </c>
      <c r="O61" s="361">
        <v>337.02</v>
      </c>
      <c r="P61" s="361">
        <v>295.82</v>
      </c>
      <c r="Q61" s="361">
        <v>299.70300000000003</v>
      </c>
      <c r="R61" s="361">
        <v>278.88299999999987</v>
      </c>
      <c r="S61" s="361">
        <v>312.06200000000001</v>
      </c>
      <c r="T61" s="361">
        <v>263.49599999999998</v>
      </c>
      <c r="U61" s="361">
        <v>269.26100000000002</v>
      </c>
      <c r="V61" s="361">
        <v>251.69099999999997</v>
      </c>
      <c r="W61" s="361">
        <v>279.98599999999993</v>
      </c>
      <c r="X61" s="361">
        <v>252.38899999999998</v>
      </c>
      <c r="Y61" s="361">
        <v>318.72699999999998</v>
      </c>
      <c r="Z61" s="361">
        <v>283.95599999999996</v>
      </c>
      <c r="AA61" s="361">
        <v>354.82099999999997</v>
      </c>
      <c r="AB61" s="361">
        <v>345.22135335000405</v>
      </c>
      <c r="AC61" s="361">
        <v>370.16223400786345</v>
      </c>
      <c r="AD61" s="361">
        <v>361.43700000000007</v>
      </c>
      <c r="AE61" s="361">
        <v>464.81400000000002</v>
      </c>
      <c r="AF61" s="361">
        <v>430.698054402352</v>
      </c>
      <c r="AG61" s="361">
        <v>462.82881499662801</v>
      </c>
    </row>
    <row r="62" spans="1:33" x14ac:dyDescent="0.2">
      <c r="B62" s="355"/>
      <c r="C62" s="347"/>
      <c r="D62" s="361"/>
      <c r="E62" s="361"/>
      <c r="F62" s="361"/>
      <c r="G62" s="361"/>
      <c r="H62" s="361"/>
      <c r="I62" s="361"/>
      <c r="J62" s="361"/>
      <c r="K62" s="361"/>
      <c r="L62" s="361"/>
      <c r="M62" s="361"/>
      <c r="N62" s="361"/>
      <c r="O62" s="361"/>
      <c r="P62" s="361"/>
      <c r="Q62" s="361"/>
      <c r="R62" s="361"/>
      <c r="S62" s="361"/>
      <c r="T62" s="361"/>
      <c r="U62" s="361"/>
      <c r="V62" s="361"/>
      <c r="W62" s="361"/>
      <c r="X62" s="361"/>
      <c r="Y62" s="361"/>
      <c r="Z62" s="361"/>
      <c r="AA62" s="361"/>
      <c r="AB62" s="361"/>
      <c r="AC62" s="361"/>
      <c r="AD62" s="361"/>
      <c r="AE62" s="361"/>
      <c r="AF62" s="361"/>
      <c r="AG62" s="361"/>
    </row>
    <row r="63" spans="1:33" x14ac:dyDescent="0.2">
      <c r="B63" s="466" t="str">
        <f>+Cargo_Graph!M49</f>
        <v>Chile</v>
      </c>
      <c r="C63" s="347"/>
      <c r="D63" s="465" cm="1">
        <f t="array" ref="D63:AG63">+INDEX($D$52:$AG$57,MATCH($B$63,$B$52:$B$57,0),)</f>
        <v>17139.2</v>
      </c>
      <c r="E63" s="465">
        <v>16110.2</v>
      </c>
      <c r="F63" s="465">
        <v>14246.2</v>
      </c>
      <c r="G63" s="465">
        <v>14624.7</v>
      </c>
      <c r="H63" s="465">
        <v>15083.1</v>
      </c>
      <c r="I63" s="465">
        <v>14818.1</v>
      </c>
      <c r="J63" s="465">
        <v>14528.4</v>
      </c>
      <c r="K63" s="465">
        <v>16339.9</v>
      </c>
      <c r="L63" s="465">
        <v>15704.4</v>
      </c>
      <c r="M63" s="465">
        <v>16393.400000000001</v>
      </c>
      <c r="N63" s="465">
        <v>17573.599999999999</v>
      </c>
      <c r="O63" s="465">
        <v>19232.8</v>
      </c>
      <c r="P63" s="465">
        <v>19406.900000000001</v>
      </c>
      <c r="Q63" s="465">
        <v>18949.599999999999</v>
      </c>
      <c r="R63" s="465">
        <v>17621.599999999999</v>
      </c>
      <c r="S63" s="465">
        <v>18860</v>
      </c>
      <c r="T63" s="465">
        <v>18259.2</v>
      </c>
      <c r="U63" s="465">
        <v>17022</v>
      </c>
      <c r="V63" s="465">
        <v>16697</v>
      </c>
      <c r="W63" s="465">
        <v>16814.2</v>
      </c>
      <c r="X63" s="465">
        <v>17215.2</v>
      </c>
      <c r="Y63" s="465">
        <v>17643.3</v>
      </c>
      <c r="Z63" s="465">
        <v>17835.5</v>
      </c>
      <c r="AA63" s="465">
        <v>21391.8</v>
      </c>
      <c r="AB63" s="465">
        <v>22145</v>
      </c>
      <c r="AC63" s="465">
        <v>23788.6</v>
      </c>
      <c r="AD63" s="465">
        <v>23462.7</v>
      </c>
      <c r="AE63" s="465">
        <v>25280.3</v>
      </c>
      <c r="AF63" s="465">
        <v>24585.7</v>
      </c>
      <c r="AG63" s="465">
        <v>25294.3</v>
      </c>
    </row>
    <row r="64" spans="1:33" x14ac:dyDescent="0.2">
      <c r="B64" s="462" t="s">
        <v>1247</v>
      </c>
      <c r="C64" s="1202" t="s">
        <v>1248</v>
      </c>
      <c r="D64" s="1202"/>
      <c r="E64" s="1202"/>
      <c r="F64" s="1202"/>
      <c r="G64" s="1202"/>
      <c r="H64" s="1202"/>
      <c r="I64" s="1202"/>
      <c r="J64" s="1202"/>
      <c r="K64" s="1202"/>
      <c r="L64" s="1202"/>
      <c r="M64" s="1202"/>
      <c r="N64" s="1202"/>
      <c r="O64" s="1202"/>
      <c r="P64" s="1202"/>
      <c r="Q64" s="361"/>
      <c r="R64" s="361"/>
      <c r="S64" s="361"/>
      <c r="T64" s="361"/>
      <c r="U64" s="361"/>
      <c r="V64" s="361"/>
      <c r="W64" s="361"/>
      <c r="X64" s="361"/>
      <c r="Y64" s="361"/>
      <c r="Z64" s="361"/>
      <c r="AA64" s="361"/>
      <c r="AB64" s="361"/>
      <c r="AC64" s="361"/>
      <c r="AD64" s="361"/>
      <c r="AE64" s="361"/>
      <c r="AF64" s="361"/>
      <c r="AG64" s="361"/>
    </row>
    <row r="65" spans="1:47" x14ac:dyDescent="0.2">
      <c r="A65" s="376"/>
      <c r="B65" s="377"/>
      <c r="C65" s="378"/>
      <c r="D65" s="377"/>
      <c r="E65" s="377"/>
      <c r="F65" s="377"/>
      <c r="G65" s="377"/>
      <c r="H65" s="377"/>
      <c r="I65" s="377"/>
      <c r="J65" s="377"/>
      <c r="K65" s="377"/>
      <c r="L65" s="379"/>
      <c r="M65" s="379"/>
      <c r="N65" s="379"/>
      <c r="O65" s="379"/>
      <c r="P65" s="379"/>
      <c r="Q65" s="379"/>
      <c r="R65" s="379"/>
      <c r="S65" s="379"/>
      <c r="T65" s="379"/>
      <c r="U65" s="379"/>
      <c r="V65" s="379"/>
      <c r="W65" s="379"/>
      <c r="X65" s="379"/>
      <c r="Y65" s="379"/>
      <c r="Z65" s="379"/>
      <c r="AA65" s="379"/>
      <c r="AB65" s="379"/>
      <c r="AC65" s="379"/>
      <c r="AD65" s="379"/>
      <c r="AE65" s="379"/>
      <c r="AF65" s="379"/>
      <c r="AG65" s="379"/>
      <c r="AH65" s="379"/>
      <c r="AI65" s="379"/>
      <c r="AJ65" s="379"/>
      <c r="AK65" s="379"/>
      <c r="AL65" s="379"/>
      <c r="AM65" s="379"/>
      <c r="AN65" s="379"/>
      <c r="AO65" s="380"/>
      <c r="AP65" s="380"/>
      <c r="AQ65" s="380"/>
      <c r="AR65" s="379"/>
      <c r="AS65" s="379"/>
    </row>
    <row r="66" spans="1:47" x14ac:dyDescent="0.2">
      <c r="B66" s="358"/>
      <c r="C66" s="347"/>
      <c r="D66" s="358"/>
      <c r="E66" s="358"/>
      <c r="F66" s="358"/>
      <c r="G66" s="358"/>
      <c r="H66" s="358"/>
      <c r="I66" s="358"/>
      <c r="J66" s="358"/>
      <c r="K66" s="358"/>
      <c r="L66" s="356"/>
      <c r="M66" s="356"/>
      <c r="N66" s="356"/>
      <c r="O66" s="356"/>
      <c r="P66" s="356"/>
      <c r="Q66" s="356"/>
      <c r="R66" s="356"/>
      <c r="S66" s="356"/>
      <c r="T66" s="356"/>
      <c r="U66" s="356"/>
      <c r="V66" s="356"/>
      <c r="W66" s="356"/>
      <c r="X66" s="356"/>
      <c r="Y66" s="356"/>
      <c r="Z66" s="356"/>
      <c r="AA66" s="356"/>
      <c r="AB66" s="356"/>
      <c r="AC66" s="356"/>
      <c r="AD66" s="356"/>
      <c r="AE66" s="356"/>
      <c r="AF66" s="356"/>
      <c r="AG66" s="356"/>
      <c r="AH66" s="356"/>
      <c r="AI66" s="356"/>
      <c r="AJ66" s="356"/>
      <c r="AK66" s="356"/>
      <c r="AL66" s="356"/>
      <c r="AM66" s="356"/>
      <c r="AN66" s="356"/>
      <c r="AO66" s="357"/>
      <c r="AP66" s="357"/>
      <c r="AQ66" s="357"/>
      <c r="AR66" s="356"/>
      <c r="AS66" s="356"/>
    </row>
    <row r="67" spans="1:47" x14ac:dyDescent="0.2">
      <c r="B67" s="1196" t="s">
        <v>1249</v>
      </c>
      <c r="C67" s="1202" t="s">
        <v>1250</v>
      </c>
      <c r="D67" s="1202"/>
      <c r="E67" s="1202"/>
      <c r="F67" s="1202"/>
      <c r="G67" s="1202"/>
      <c r="H67" s="1202"/>
      <c r="I67" s="1202"/>
      <c r="J67" s="1202"/>
      <c r="K67" s="1202"/>
      <c r="L67" s="1202"/>
      <c r="M67" s="1202"/>
      <c r="N67" s="1202"/>
      <c r="O67" s="1202"/>
      <c r="P67" s="1202"/>
      <c r="Q67" s="356"/>
      <c r="R67" s="356"/>
      <c r="S67" s="356"/>
      <c r="T67" s="356"/>
      <c r="U67" s="356"/>
      <c r="V67" s="356"/>
      <c r="W67" s="356"/>
      <c r="X67" s="356"/>
      <c r="Y67" s="356"/>
      <c r="Z67" s="356"/>
      <c r="AA67" s="356"/>
      <c r="AB67" s="356"/>
      <c r="AC67" s="356"/>
      <c r="AD67" s="356"/>
      <c r="AE67" s="356"/>
      <c r="AF67" s="356"/>
      <c r="AG67" s="356"/>
      <c r="AH67" s="356"/>
      <c r="AI67" s="356"/>
      <c r="AJ67" s="356"/>
      <c r="AK67" s="356"/>
      <c r="AL67" s="356"/>
      <c r="AM67" s="356"/>
      <c r="AN67" s="356"/>
      <c r="AO67" s="357"/>
      <c r="AP67" s="357"/>
      <c r="AQ67" s="357"/>
      <c r="AR67" s="356"/>
      <c r="AS67" s="356"/>
    </row>
    <row r="68" spans="1:47" x14ac:dyDescent="0.2">
      <c r="B68" s="1196"/>
      <c r="C68" s="1202"/>
      <c r="D68" s="1202"/>
      <c r="E68" s="1202"/>
      <c r="F68" s="1202"/>
      <c r="G68" s="1202"/>
      <c r="H68" s="1202"/>
      <c r="I68" s="1202"/>
      <c r="J68" s="1202"/>
      <c r="K68" s="1202"/>
      <c r="L68" s="1202"/>
      <c r="M68" s="1202"/>
      <c r="N68" s="1202"/>
      <c r="O68" s="1202"/>
      <c r="P68" s="1202"/>
      <c r="Q68" s="356"/>
      <c r="R68" s="356"/>
      <c r="S68" s="356"/>
      <c r="T68" s="356"/>
      <c r="U68" s="356"/>
      <c r="V68" s="356"/>
      <c r="W68" s="356"/>
      <c r="X68" s="356"/>
      <c r="Y68" s="356"/>
      <c r="Z68" s="356"/>
      <c r="AA68" s="356"/>
      <c r="AB68" s="356"/>
      <c r="AC68" s="356"/>
      <c r="AD68" s="356"/>
      <c r="AE68" s="356"/>
      <c r="AF68" s="356"/>
      <c r="AG68" s="356"/>
      <c r="AH68" s="356"/>
      <c r="AI68" s="356"/>
      <c r="AJ68" s="356"/>
      <c r="AK68" s="356"/>
      <c r="AL68" s="356"/>
      <c r="AM68" s="356"/>
      <c r="AN68" s="356"/>
      <c r="AO68" s="357"/>
      <c r="AP68" s="357"/>
      <c r="AQ68" s="357"/>
      <c r="AR68" s="356"/>
      <c r="AS68" s="356"/>
    </row>
    <row r="70" spans="1:47" x14ac:dyDescent="0.2">
      <c r="A70" s="457"/>
      <c r="B70" s="1197" t="s">
        <v>1251</v>
      </c>
      <c r="C70" s="1199"/>
      <c r="D70" s="109" t="s">
        <v>619</v>
      </c>
      <c r="E70" s="109" t="s">
        <v>620</v>
      </c>
      <c r="F70" s="109" t="s">
        <v>621</v>
      </c>
      <c r="G70" s="109" t="s">
        <v>622</v>
      </c>
      <c r="H70" s="109" t="s">
        <v>623</v>
      </c>
      <c r="I70" s="109" t="s">
        <v>624</v>
      </c>
      <c r="J70" s="109" t="s">
        <v>625</v>
      </c>
      <c r="K70" s="109" t="s">
        <v>626</v>
      </c>
      <c r="L70" s="109" t="s">
        <v>627</v>
      </c>
      <c r="M70" s="109" t="s">
        <v>628</v>
      </c>
      <c r="N70" s="109" t="s">
        <v>629</v>
      </c>
      <c r="O70" s="109" t="s">
        <v>630</v>
      </c>
      <c r="P70" s="109" t="s">
        <v>631</v>
      </c>
      <c r="Q70" s="109" t="s">
        <v>632</v>
      </c>
      <c r="R70" s="109" t="s">
        <v>633</v>
      </c>
      <c r="S70" s="109" t="s">
        <v>634</v>
      </c>
      <c r="T70" s="109" t="s">
        <v>635</v>
      </c>
      <c r="U70" s="109" t="s">
        <v>636</v>
      </c>
      <c r="V70" s="109" t="s">
        <v>637</v>
      </c>
      <c r="W70" s="109" t="s">
        <v>638</v>
      </c>
      <c r="X70" s="109" t="s">
        <v>639</v>
      </c>
      <c r="Y70" s="109" t="s">
        <v>640</v>
      </c>
      <c r="Z70" s="109" t="s">
        <v>641</v>
      </c>
      <c r="AA70" s="109" t="s">
        <v>642</v>
      </c>
      <c r="AB70" s="109" t="s">
        <v>643</v>
      </c>
      <c r="AC70" s="109" t="s">
        <v>644</v>
      </c>
      <c r="AD70" s="109" t="s">
        <v>645</v>
      </c>
      <c r="AE70" s="109" t="s">
        <v>646</v>
      </c>
      <c r="AF70" s="109" t="s">
        <v>647</v>
      </c>
      <c r="AG70" s="112" t="s">
        <v>648</v>
      </c>
      <c r="AH70" s="112" t="s">
        <v>649</v>
      </c>
      <c r="AI70" s="112" t="s">
        <v>650</v>
      </c>
      <c r="AJ70" s="109" t="s">
        <v>651</v>
      </c>
      <c r="AK70" s="109" t="s">
        <v>652</v>
      </c>
      <c r="AL70" s="109" t="s">
        <v>653</v>
      </c>
      <c r="AM70" s="112" t="s">
        <v>654</v>
      </c>
      <c r="AN70" s="112" t="s">
        <v>655</v>
      </c>
      <c r="AO70" s="112" t="s">
        <v>656</v>
      </c>
      <c r="AT70" s="469"/>
      <c r="AU70" s="470"/>
    </row>
    <row r="71" spans="1:47" x14ac:dyDescent="0.2">
      <c r="A71" s="457"/>
      <c r="B71" s="1200"/>
      <c r="C71" s="1201"/>
      <c r="D71" s="342"/>
      <c r="E71" s="343"/>
      <c r="F71" s="343"/>
      <c r="G71" s="343"/>
      <c r="H71" s="343"/>
      <c r="I71" s="343"/>
      <c r="J71" s="343"/>
      <c r="K71" s="343"/>
      <c r="L71" s="343"/>
      <c r="M71" s="343"/>
      <c r="N71" s="343"/>
      <c r="O71" s="343"/>
      <c r="P71" s="343"/>
      <c r="Q71" s="343"/>
      <c r="R71" s="343"/>
      <c r="S71" s="343"/>
      <c r="T71" s="343"/>
      <c r="U71" s="343"/>
      <c r="V71" s="343"/>
      <c r="W71" s="343"/>
      <c r="X71" s="343"/>
      <c r="Y71" s="343"/>
      <c r="Z71" s="343"/>
      <c r="AA71" s="343"/>
      <c r="AB71" s="343"/>
      <c r="AC71" s="343"/>
      <c r="AD71" s="343"/>
      <c r="AE71" s="343"/>
      <c r="AF71" s="343"/>
      <c r="AG71" s="343"/>
      <c r="AH71" s="394"/>
      <c r="AI71" s="394"/>
      <c r="AJ71" s="394"/>
      <c r="AK71" s="394"/>
      <c r="AL71" s="394"/>
      <c r="AM71" s="394"/>
      <c r="AN71" s="394"/>
      <c r="AO71" s="394"/>
    </row>
    <row r="72" spans="1:47" x14ac:dyDescent="0.2">
      <c r="A72" s="346"/>
      <c r="B72" s="1205" t="s">
        <v>1252</v>
      </c>
      <c r="C72" s="1205"/>
      <c r="D72" s="382">
        <v>0.45878037863920562</v>
      </c>
      <c r="E72" s="383">
        <v>0.50264219546069688</v>
      </c>
      <c r="F72" s="383">
        <v>0.47860487589156153</v>
      </c>
      <c r="G72" s="383">
        <v>0.49881145716594188</v>
      </c>
      <c r="H72" s="383">
        <v>0.46014635000700777</v>
      </c>
      <c r="I72" s="383">
        <v>0.46522111167543456</v>
      </c>
      <c r="J72" s="383">
        <v>0.4493466869120043</v>
      </c>
      <c r="K72" s="383">
        <v>0.47563582203725985</v>
      </c>
      <c r="L72" s="383">
        <v>0.43317334391110762</v>
      </c>
      <c r="M72" s="383">
        <v>0.44771466230984491</v>
      </c>
      <c r="N72" s="383">
        <v>0.4051172455688814</v>
      </c>
      <c r="O72" s="383">
        <v>0.40549131425997553</v>
      </c>
      <c r="P72" s="383">
        <v>0.37950866265193661</v>
      </c>
      <c r="Q72" s="383">
        <v>0.3869317552039514</v>
      </c>
      <c r="R72" s="383">
        <v>0.35437393516097337</v>
      </c>
      <c r="S72" s="383">
        <v>0.37592730449140399</v>
      </c>
      <c r="T72" s="383">
        <v>0.27396488404311403</v>
      </c>
      <c r="U72" s="383">
        <v>0.30016809990081827</v>
      </c>
      <c r="V72" s="383">
        <v>0.28784850179195554</v>
      </c>
      <c r="W72" s="383">
        <v>0.32465858413744375</v>
      </c>
      <c r="X72" s="383">
        <v>0.29136367185721912</v>
      </c>
      <c r="Y72" s="383">
        <v>0.32017548880498026</v>
      </c>
      <c r="Z72" s="383">
        <v>0.26330962488742637</v>
      </c>
      <c r="AA72" s="383">
        <v>0.28859405473372268</v>
      </c>
      <c r="AB72" s="383">
        <v>0.24980828121122323</v>
      </c>
      <c r="AC72" s="383">
        <v>0.2825406626950514</v>
      </c>
      <c r="AD72" s="383">
        <v>0.29208512447458068</v>
      </c>
      <c r="AE72" s="383">
        <v>0.33610664557488523</v>
      </c>
      <c r="AF72" s="383">
        <v>0.38592375752726504</v>
      </c>
      <c r="AG72" s="383">
        <v>0.94525328581967194</v>
      </c>
      <c r="AH72" s="463">
        <v>0.92123978605177648</v>
      </c>
      <c r="AI72" s="463">
        <v>0.84434654439424361</v>
      </c>
      <c r="AJ72" s="463">
        <v>0.7915286820664279</v>
      </c>
      <c r="AK72" s="463">
        <v>0.85440140065324699</v>
      </c>
      <c r="AL72" s="463">
        <v>0.73552304194363649</v>
      </c>
      <c r="AM72" s="463">
        <v>0.6680944818959178</v>
      </c>
      <c r="AN72" s="463">
        <v>0.59095005070245388</v>
      </c>
      <c r="AO72" s="463">
        <v>0.59053941006989841</v>
      </c>
      <c r="AP72" s="463"/>
      <c r="AQ72" s="463"/>
      <c r="AR72" s="463"/>
      <c r="AS72" s="463"/>
      <c r="AT72" s="463"/>
      <c r="AU72" s="463"/>
    </row>
    <row r="73" spans="1:47" x14ac:dyDescent="0.2">
      <c r="A73" s="346"/>
      <c r="B73" s="1205" t="s">
        <v>1253</v>
      </c>
      <c r="C73" s="1205"/>
      <c r="D73" s="384">
        <v>3.0926666666666667</v>
      </c>
      <c r="E73" s="385">
        <v>2.7673333333333332</v>
      </c>
      <c r="F73" s="385">
        <v>2.9436666666666667</v>
      </c>
      <c r="G73" s="385">
        <v>2.89</v>
      </c>
      <c r="H73" s="385">
        <v>2.9253333333333331</v>
      </c>
      <c r="I73" s="385">
        <v>2.8796666666666666</v>
      </c>
      <c r="J73" s="385">
        <v>2.7950000000000004</v>
      </c>
      <c r="K73" s="385">
        <v>2.1859999999999999</v>
      </c>
      <c r="L73" s="385">
        <v>1.6303333333333334</v>
      </c>
      <c r="M73" s="385">
        <v>1.7610000000000001</v>
      </c>
      <c r="N73" s="385">
        <v>1.4443333333333335</v>
      </c>
      <c r="O73" s="385">
        <v>1.2663333333333335</v>
      </c>
      <c r="P73" s="385">
        <v>0.9906666666666667</v>
      </c>
      <c r="Q73" s="385">
        <v>1.2759999999999998</v>
      </c>
      <c r="R73" s="385">
        <v>1.2953333333333334</v>
      </c>
      <c r="S73" s="385">
        <v>1.4346666666666668</v>
      </c>
      <c r="T73" s="385">
        <v>1.502</v>
      </c>
      <c r="U73" s="385">
        <v>1.4056666666666666</v>
      </c>
      <c r="V73" s="385">
        <v>1.5926666666666665</v>
      </c>
      <c r="W73" s="385">
        <v>1.7453333333333332</v>
      </c>
      <c r="X73" s="385">
        <v>1.8863333333333336</v>
      </c>
      <c r="Y73" s="385">
        <v>2.0866666666666664</v>
      </c>
      <c r="Z73" s="385">
        <v>2.1349999999999998</v>
      </c>
      <c r="AA73" s="385">
        <v>1.9633333333333332</v>
      </c>
      <c r="AB73" s="385">
        <v>1.8666666666666665</v>
      </c>
      <c r="AC73" s="385">
        <v>1.9219999999999999</v>
      </c>
      <c r="AD73" s="385">
        <v>1.8623333333333332</v>
      </c>
      <c r="AE73" s="385">
        <v>1.8593333333333335</v>
      </c>
      <c r="AF73" s="385">
        <v>1.4106666666666667</v>
      </c>
      <c r="AG73" s="385">
        <v>3.52</v>
      </c>
      <c r="AH73" s="464">
        <v>1.0673333333333332</v>
      </c>
      <c r="AI73" s="464">
        <v>1.1679999999999999</v>
      </c>
      <c r="AJ73" s="464">
        <v>1.5606666666666669</v>
      </c>
      <c r="AK73" s="464">
        <v>1.7593333333333334</v>
      </c>
      <c r="AL73" s="464">
        <v>1.9023333333333332</v>
      </c>
      <c r="AM73" s="464">
        <v>2.1946666666666665</v>
      </c>
      <c r="AN73" s="464">
        <v>2.8743333333333339</v>
      </c>
      <c r="AO73" s="464">
        <v>3.9786666666666668</v>
      </c>
      <c r="AP73" s="464"/>
      <c r="AQ73" s="464"/>
      <c r="AR73" s="464"/>
      <c r="AS73" s="464"/>
      <c r="AT73" s="464"/>
      <c r="AU73" s="464"/>
    </row>
    <row r="74" spans="1:47" x14ac:dyDescent="0.2">
      <c r="A74" s="346"/>
      <c r="B74" s="346"/>
      <c r="D74" s="384"/>
      <c r="E74" s="385"/>
      <c r="F74" s="385"/>
      <c r="G74" s="385"/>
      <c r="H74" s="385"/>
      <c r="I74" s="385"/>
      <c r="J74" s="385"/>
      <c r="K74" s="385"/>
      <c r="L74" s="385"/>
      <c r="M74" s="385"/>
      <c r="N74" s="385"/>
      <c r="O74" s="385"/>
      <c r="P74" s="385"/>
      <c r="Q74" s="385"/>
      <c r="R74" s="385"/>
      <c r="S74" s="385"/>
      <c r="T74" s="385"/>
      <c r="U74" s="385"/>
      <c r="V74" s="385"/>
      <c r="W74" s="385"/>
      <c r="X74" s="385"/>
      <c r="Y74" s="385"/>
      <c r="Z74" s="385"/>
      <c r="AA74" s="385"/>
      <c r="AB74" s="385"/>
      <c r="AC74" s="385"/>
      <c r="AD74" s="385"/>
      <c r="AE74" s="385"/>
      <c r="AF74" s="385"/>
      <c r="AG74" s="385"/>
      <c r="AH74" s="464"/>
      <c r="AI74" s="464"/>
      <c r="AJ74" s="464"/>
      <c r="AK74" s="464"/>
      <c r="AL74" s="464"/>
      <c r="AM74" s="464"/>
      <c r="AN74" s="464"/>
      <c r="AO74" s="464"/>
    </row>
    <row r="75" spans="1:47" x14ac:dyDescent="0.2">
      <c r="A75" s="346"/>
      <c r="B75" s="358" t="s">
        <v>1254</v>
      </c>
      <c r="C75" s="347" t="s">
        <v>707</v>
      </c>
      <c r="D75" s="370">
        <v>23.524423970153478</v>
      </c>
      <c r="E75" s="370">
        <v>25.513006532531673</v>
      </c>
      <c r="F75" s="370">
        <v>23.407699782298327</v>
      </c>
      <c r="G75" s="370">
        <v>24.937028152372452</v>
      </c>
      <c r="H75" s="370">
        <v>23.020557614414461</v>
      </c>
      <c r="I75" s="370">
        <v>24.101882853845702</v>
      </c>
      <c r="J75" s="370">
        <v>23.138934384775034</v>
      </c>
      <c r="K75" s="370">
        <v>24.648252231684843</v>
      </c>
      <c r="L75" s="370">
        <v>19.820705990674846</v>
      </c>
      <c r="M75" s="370">
        <v>19.222522792254178</v>
      </c>
      <c r="N75" s="370">
        <v>17.549005264726095</v>
      </c>
      <c r="O75" s="370">
        <v>18.499674662323212</v>
      </c>
      <c r="P75" s="370">
        <v>16.166468371831872</v>
      </c>
      <c r="Q75" s="370">
        <v>15.920580580570462</v>
      </c>
      <c r="R75" s="370">
        <v>15.920580582153949</v>
      </c>
      <c r="S75" s="370">
        <v>18.150307421689838</v>
      </c>
      <c r="T75" s="370">
        <v>16.55667445055311</v>
      </c>
      <c r="U75" s="370">
        <v>17.29932288454005</v>
      </c>
      <c r="V75" s="370">
        <v>17.297965319923737</v>
      </c>
      <c r="W75" s="370">
        <v>20.529857711538433</v>
      </c>
      <c r="X75" s="370">
        <v>18.375178095360464</v>
      </c>
      <c r="Y75" s="370">
        <v>18.805830630394503</v>
      </c>
      <c r="Z75" s="370">
        <v>17.05713100660817</v>
      </c>
      <c r="AA75" s="370">
        <v>18.809190752304367</v>
      </c>
      <c r="AB75" s="370">
        <v>16.43111205081599</v>
      </c>
      <c r="AC75" s="370">
        <v>17.699345867976241</v>
      </c>
      <c r="AD75" s="370">
        <v>15.811803785903436</v>
      </c>
      <c r="AE75" s="370">
        <v>17.07302139708802</v>
      </c>
      <c r="AF75" s="370">
        <v>15.905816099071634</v>
      </c>
      <c r="AG75" s="370">
        <v>34.690556351392544</v>
      </c>
      <c r="AH75" s="370">
        <v>29.642897939659793</v>
      </c>
      <c r="AI75" s="370">
        <v>28.504514452558801</v>
      </c>
      <c r="AJ75" s="370">
        <v>30.842814336285478</v>
      </c>
      <c r="AK75" s="370">
        <v>33.778686312383499</v>
      </c>
      <c r="AL75" s="370">
        <v>30.670793856045368</v>
      </c>
      <c r="AM75" s="370">
        <v>33.331905807453346</v>
      </c>
      <c r="AN75" s="370">
        <v>30.12178608529333</v>
      </c>
      <c r="AO75" s="370">
        <v>31.716263813215363</v>
      </c>
      <c r="AP75" s="370"/>
      <c r="AQ75" s="370"/>
      <c r="AR75" s="370"/>
      <c r="AS75" s="370"/>
      <c r="AT75" s="370"/>
      <c r="AU75" s="370"/>
    </row>
    <row r="76" spans="1:47" x14ac:dyDescent="0.2">
      <c r="A76" s="346"/>
      <c r="B76" s="358"/>
      <c r="C76" s="347"/>
      <c r="D76" s="370"/>
      <c r="E76" s="370"/>
      <c r="F76" s="370"/>
      <c r="G76" s="370"/>
      <c r="H76" s="370"/>
      <c r="I76" s="370"/>
      <c r="J76" s="370"/>
      <c r="K76" s="370"/>
      <c r="L76" s="370"/>
      <c r="M76" s="370"/>
      <c r="N76" s="370"/>
      <c r="O76" s="370"/>
      <c r="P76" s="370"/>
      <c r="Q76" s="370"/>
      <c r="R76" s="370"/>
      <c r="S76" s="370"/>
      <c r="T76" s="370"/>
      <c r="U76" s="370"/>
      <c r="V76" s="370"/>
      <c r="W76" s="370"/>
      <c r="X76" s="370"/>
      <c r="Y76" s="370"/>
      <c r="Z76" s="370"/>
      <c r="AA76" s="370"/>
      <c r="AB76" s="370"/>
      <c r="AC76" s="370"/>
      <c r="AD76" s="370"/>
      <c r="AE76" s="370"/>
      <c r="AF76" s="370"/>
      <c r="AG76" s="370"/>
      <c r="AH76" s="370"/>
      <c r="AI76" s="370"/>
      <c r="AJ76" s="370"/>
      <c r="AK76" s="371"/>
      <c r="AL76" s="371"/>
      <c r="AM76" s="371"/>
      <c r="AN76" s="370"/>
      <c r="AO76" s="370"/>
    </row>
    <row r="77" spans="1:47" ht="17" thickBot="1" x14ac:dyDescent="0.25">
      <c r="A77" s="346"/>
      <c r="B77" s="1204" t="s">
        <v>1255</v>
      </c>
      <c r="C77" s="1204"/>
      <c r="D77" s="1204"/>
      <c r="E77" s="1204"/>
      <c r="F77" s="1204"/>
      <c r="G77" s="1204"/>
      <c r="H77" s="386"/>
      <c r="I77" s="370"/>
      <c r="J77" s="370"/>
      <c r="K77" s="370"/>
      <c r="L77" s="370"/>
      <c r="M77" s="370"/>
      <c r="N77" s="370"/>
      <c r="O77" s="370"/>
      <c r="P77" s="370"/>
      <c r="Q77" s="370"/>
      <c r="R77" s="370"/>
      <c r="S77" s="370"/>
      <c r="T77" s="370"/>
      <c r="U77" s="370"/>
      <c r="V77" s="370"/>
      <c r="W77" s="370"/>
      <c r="X77" s="370"/>
      <c r="Y77" s="370"/>
      <c r="Z77" s="370"/>
      <c r="AA77" s="370"/>
      <c r="AB77" s="370"/>
      <c r="AC77" s="370"/>
      <c r="AD77" s="370"/>
      <c r="AE77" s="370"/>
      <c r="AF77" s="370"/>
      <c r="AG77" s="370"/>
      <c r="AH77" s="370"/>
      <c r="AI77" s="370"/>
      <c r="AJ77" s="370"/>
      <c r="AK77" s="371"/>
      <c r="AL77" s="371"/>
      <c r="AM77" s="371"/>
      <c r="AN77" s="370"/>
      <c r="AO77" s="370"/>
    </row>
    <row r="78" spans="1:47" ht="17" thickTop="1" x14ac:dyDescent="0.2">
      <c r="A78" s="346"/>
      <c r="B78" s="386"/>
      <c r="C78" s="386"/>
      <c r="D78" s="386"/>
      <c r="E78" s="386"/>
      <c r="F78" s="386"/>
      <c r="G78" s="386"/>
      <c r="H78" s="386"/>
      <c r="I78" s="370"/>
      <c r="J78" s="370"/>
      <c r="K78" s="370"/>
      <c r="L78" s="370"/>
      <c r="M78" s="370"/>
      <c r="N78" s="370"/>
      <c r="O78" s="370"/>
      <c r="P78" s="370"/>
      <c r="Q78" s="370"/>
      <c r="R78" s="370"/>
      <c r="S78" s="370"/>
      <c r="T78" s="370"/>
      <c r="U78" s="370"/>
      <c r="V78" s="370"/>
      <c r="W78" s="370"/>
      <c r="X78" s="370"/>
      <c r="Y78" s="370"/>
      <c r="Z78" s="370"/>
      <c r="AA78" s="370"/>
      <c r="AB78" s="370"/>
      <c r="AC78" s="370"/>
      <c r="AD78" s="370"/>
      <c r="AE78" s="370"/>
      <c r="AF78" s="370"/>
      <c r="AG78" s="370"/>
      <c r="AH78" s="370"/>
      <c r="AI78" s="370"/>
      <c r="AJ78" s="370"/>
      <c r="AK78" s="371"/>
      <c r="AL78" s="371"/>
      <c r="AM78" s="371"/>
      <c r="AN78" s="370"/>
      <c r="AO78" s="370"/>
    </row>
    <row r="79" spans="1:47" x14ac:dyDescent="0.2">
      <c r="A79" s="346"/>
      <c r="B79" s="1203" t="s">
        <v>607</v>
      </c>
      <c r="C79" s="1203"/>
      <c r="E79" s="1203" t="s">
        <v>1256</v>
      </c>
      <c r="F79" s="1203"/>
      <c r="G79" s="387">
        <v>0.73385041756496328</v>
      </c>
      <c r="I79" s="370"/>
      <c r="J79" s="370"/>
      <c r="K79" s="370"/>
      <c r="L79" s="370"/>
      <c r="M79" s="370"/>
      <c r="N79" s="370"/>
      <c r="O79" s="370"/>
      <c r="P79" s="370"/>
      <c r="Q79" s="370"/>
      <c r="R79" s="370"/>
      <c r="S79" s="370"/>
      <c r="T79" s="370"/>
      <c r="U79" s="370"/>
      <c r="V79" s="370"/>
      <c r="W79" s="370"/>
      <c r="X79" s="370"/>
      <c r="Y79" s="370"/>
      <c r="Z79" s="370"/>
      <c r="AA79" s="370"/>
      <c r="AB79" s="370"/>
      <c r="AC79" s="370"/>
      <c r="AD79" s="370"/>
      <c r="AE79" s="370"/>
      <c r="AF79" s="370"/>
      <c r="AG79" s="370"/>
      <c r="AH79" s="370"/>
      <c r="AI79" s="370"/>
      <c r="AJ79" s="370"/>
      <c r="AK79" s="371"/>
      <c r="AL79" s="371"/>
      <c r="AM79" s="371"/>
      <c r="AN79" s="370"/>
      <c r="AO79" s="370"/>
    </row>
    <row r="80" spans="1:47" x14ac:dyDescent="0.2">
      <c r="A80" s="346"/>
      <c r="B80" s="347" t="s">
        <v>615</v>
      </c>
      <c r="C80" s="386">
        <v>4.6054574122451273</v>
      </c>
      <c r="D80" s="370"/>
      <c r="E80" s="370"/>
      <c r="F80" s="370"/>
      <c r="I80" s="370"/>
      <c r="J80" s="370"/>
      <c r="K80" s="370"/>
      <c r="L80" s="370"/>
      <c r="M80" s="370"/>
      <c r="N80" s="370"/>
      <c r="O80" s="370"/>
      <c r="P80" s="370"/>
      <c r="Q80" s="370"/>
      <c r="R80" s="370"/>
      <c r="S80" s="370"/>
      <c r="T80" s="370"/>
      <c r="U80" s="370"/>
      <c r="V80" s="370"/>
      <c r="W80" s="370"/>
      <c r="X80" s="370"/>
      <c r="Y80" s="370"/>
      <c r="Z80" s="370"/>
      <c r="AA80" s="370"/>
      <c r="AB80" s="370"/>
      <c r="AC80" s="370"/>
      <c r="AD80" s="370"/>
      <c r="AE80" s="370"/>
      <c r="AF80" s="370"/>
      <c r="AG80" s="370"/>
      <c r="AH80" s="370"/>
      <c r="AI80" s="370"/>
      <c r="AJ80" s="370"/>
      <c r="AK80" s="371"/>
      <c r="AL80" s="371"/>
      <c r="AM80" s="371"/>
      <c r="AN80" s="370"/>
      <c r="AO80" s="370"/>
    </row>
    <row r="81" spans="1:45" x14ac:dyDescent="0.2">
      <c r="A81" s="346"/>
      <c r="B81" s="347" t="s">
        <v>1252</v>
      </c>
      <c r="C81" s="388">
        <v>25.900426590718553</v>
      </c>
      <c r="F81" s="370"/>
      <c r="I81" s="370"/>
      <c r="J81" s="370"/>
      <c r="K81" s="370"/>
      <c r="L81" s="370"/>
      <c r="M81" s="370"/>
      <c r="N81" s="370"/>
      <c r="O81" s="370"/>
      <c r="P81" s="370"/>
      <c r="Q81" s="370"/>
      <c r="R81" s="370"/>
      <c r="S81" s="370"/>
      <c r="T81" s="370"/>
      <c r="U81" s="370"/>
      <c r="V81" s="370"/>
      <c r="W81" s="370"/>
      <c r="X81" s="370"/>
      <c r="Y81" s="370"/>
      <c r="Z81" s="370"/>
      <c r="AA81" s="370"/>
      <c r="AB81" s="370"/>
      <c r="AC81" s="370"/>
      <c r="AD81" s="370"/>
      <c r="AE81" s="370"/>
      <c r="AF81" s="370"/>
      <c r="AG81" s="370"/>
      <c r="AH81" s="370"/>
      <c r="AI81" s="370"/>
      <c r="AJ81" s="370"/>
      <c r="AK81" s="371"/>
      <c r="AL81" s="371"/>
      <c r="AM81" s="371"/>
      <c r="AN81" s="370"/>
      <c r="AO81" s="370"/>
    </row>
    <row r="82" spans="1:45" x14ac:dyDescent="0.2">
      <c r="A82" s="346"/>
      <c r="B82" s="347" t="s">
        <v>1253</v>
      </c>
      <c r="C82" s="388">
        <v>2.7074968862995923</v>
      </c>
      <c r="F82" s="370"/>
      <c r="I82" s="370"/>
      <c r="J82" s="370"/>
      <c r="K82" s="370"/>
      <c r="L82" s="370"/>
      <c r="M82" s="370"/>
      <c r="N82" s="370"/>
      <c r="O82" s="370"/>
      <c r="P82" s="370"/>
      <c r="Q82" s="370"/>
      <c r="R82" s="370"/>
      <c r="S82" s="370"/>
      <c r="T82" s="370"/>
      <c r="U82" s="370"/>
      <c r="V82" s="370"/>
      <c r="W82" s="370"/>
      <c r="X82" s="370"/>
      <c r="Y82" s="370"/>
      <c r="Z82" s="370"/>
      <c r="AA82" s="370"/>
      <c r="AB82" s="370"/>
      <c r="AC82" s="370"/>
      <c r="AD82" s="370"/>
      <c r="AE82" s="370"/>
      <c r="AF82" s="370"/>
      <c r="AG82" s="370"/>
      <c r="AH82" s="370"/>
      <c r="AI82" s="370"/>
      <c r="AJ82" s="370"/>
      <c r="AK82" s="371"/>
      <c r="AL82" s="371"/>
      <c r="AM82" s="371"/>
      <c r="AN82" s="370"/>
      <c r="AO82" s="370"/>
    </row>
    <row r="83" spans="1:45" x14ac:dyDescent="0.2">
      <c r="A83" s="346"/>
      <c r="B83" s="347"/>
      <c r="C83" s="388"/>
      <c r="F83" s="370"/>
      <c r="I83" s="370"/>
      <c r="J83" s="370"/>
      <c r="K83" s="370"/>
      <c r="L83" s="370"/>
      <c r="M83" s="370"/>
      <c r="N83" s="370"/>
      <c r="O83" s="370"/>
      <c r="P83" s="370"/>
      <c r="Q83" s="370"/>
      <c r="R83" s="370"/>
      <c r="S83" s="370"/>
      <c r="T83" s="370"/>
      <c r="U83" s="370"/>
      <c r="V83" s="370"/>
      <c r="W83" s="370"/>
      <c r="X83" s="370"/>
      <c r="Y83" s="370"/>
      <c r="Z83" s="370"/>
      <c r="AA83" s="370"/>
      <c r="AB83" s="370"/>
      <c r="AC83" s="370"/>
      <c r="AD83" s="370"/>
      <c r="AE83" s="370"/>
      <c r="AF83" s="370"/>
      <c r="AG83" s="370"/>
      <c r="AH83" s="370"/>
      <c r="AI83" s="370"/>
      <c r="AJ83" s="370"/>
      <c r="AK83" s="371"/>
      <c r="AL83" s="371"/>
      <c r="AM83" s="371"/>
      <c r="AN83" s="370"/>
      <c r="AO83" s="370"/>
    </row>
    <row r="84" spans="1:45" x14ac:dyDescent="0.2">
      <c r="A84" s="346"/>
      <c r="B84" s="347"/>
      <c r="C84" s="471">
        <v>2022</v>
      </c>
      <c r="D84" s="471">
        <v>2023</v>
      </c>
      <c r="E84" s="471">
        <v>2024</v>
      </c>
      <c r="F84" s="471">
        <v>2025</v>
      </c>
      <c r="G84" s="471">
        <v>2026</v>
      </c>
      <c r="H84" s="347">
        <v>2027</v>
      </c>
      <c r="J84" s="370"/>
      <c r="N84" s="370"/>
      <c r="O84" s="370"/>
      <c r="P84" s="370"/>
      <c r="Q84" s="370"/>
      <c r="R84" s="370"/>
      <c r="S84" s="370"/>
      <c r="T84" s="370"/>
      <c r="U84" s="370"/>
      <c r="V84" s="370"/>
      <c r="W84" s="370"/>
      <c r="X84" s="370"/>
      <c r="Y84" s="370"/>
      <c r="Z84" s="370"/>
      <c r="AA84" s="370"/>
      <c r="AB84" s="370"/>
      <c r="AC84" s="370"/>
      <c r="AD84" s="370"/>
      <c r="AE84" s="370"/>
      <c r="AF84" s="370"/>
      <c r="AG84" s="370"/>
      <c r="AH84" s="370"/>
      <c r="AI84" s="370"/>
      <c r="AJ84" s="370"/>
      <c r="AK84" s="371"/>
      <c r="AL84" s="371"/>
      <c r="AM84" s="371"/>
      <c r="AN84" s="370"/>
      <c r="AO84" s="370"/>
    </row>
    <row r="85" spans="1:45" x14ac:dyDescent="0.2">
      <c r="A85" s="346"/>
      <c r="B85" s="346" t="s">
        <v>1252</v>
      </c>
      <c r="C85" s="473">
        <v>0.55000000000000004</v>
      </c>
      <c r="D85" s="473">
        <v>0.5</v>
      </c>
      <c r="E85" s="473">
        <v>0.4</v>
      </c>
      <c r="F85" s="473">
        <v>0.4</v>
      </c>
      <c r="G85" s="473">
        <f>+H85</f>
        <v>0.35182704317989477</v>
      </c>
      <c r="H85" s="473">
        <f>+Fleet!$C$30</f>
        <v>0.35182704317989477</v>
      </c>
      <c r="N85" s="370"/>
      <c r="O85" s="370"/>
      <c r="P85" s="370"/>
      <c r="Q85" s="370"/>
      <c r="R85" s="370"/>
      <c r="S85" s="370"/>
      <c r="T85" s="370"/>
      <c r="U85" s="370"/>
      <c r="V85" s="370"/>
      <c r="W85" s="370"/>
      <c r="X85" s="370"/>
      <c r="Y85" s="370"/>
      <c r="Z85" s="370"/>
      <c r="AA85" s="370"/>
      <c r="AB85" s="370"/>
      <c r="AC85" s="370"/>
      <c r="AD85" s="370"/>
      <c r="AE85" s="370"/>
      <c r="AF85" s="370"/>
      <c r="AG85" s="370"/>
      <c r="AH85" s="370"/>
      <c r="AI85" s="370"/>
      <c r="AJ85" s="370"/>
      <c r="AK85" s="371"/>
      <c r="AL85" s="371"/>
      <c r="AM85" s="371"/>
      <c r="AN85" s="370"/>
      <c r="AO85" s="370"/>
    </row>
    <row r="86" spans="1:45" x14ac:dyDescent="0.2">
      <c r="A86" s="346"/>
      <c r="B86" s="346" t="s">
        <v>1253</v>
      </c>
      <c r="C86" s="388">
        <v>3.43</v>
      </c>
      <c r="D86" s="388">
        <v>3.1</v>
      </c>
      <c r="E86" s="388">
        <v>2.38</v>
      </c>
      <c r="F86" s="388">
        <v>2.38</v>
      </c>
      <c r="G86" s="388">
        <v>2.38</v>
      </c>
      <c r="H86" s="388">
        <v>2.38</v>
      </c>
      <c r="N86" s="370"/>
      <c r="O86" s="370"/>
      <c r="P86" s="370"/>
      <c r="Q86" s="370"/>
      <c r="R86" s="370"/>
      <c r="S86" s="370"/>
      <c r="T86" s="370"/>
      <c r="U86" s="370"/>
      <c r="V86" s="370"/>
      <c r="W86" s="370"/>
      <c r="X86" s="370"/>
      <c r="Y86" s="370"/>
      <c r="Z86" s="370"/>
      <c r="AA86" s="370"/>
      <c r="AB86" s="370"/>
      <c r="AC86" s="370"/>
      <c r="AD86" s="370"/>
      <c r="AE86" s="370"/>
      <c r="AF86" s="370"/>
      <c r="AG86" s="370"/>
      <c r="AH86" s="370"/>
      <c r="AI86" s="370"/>
      <c r="AJ86" s="370"/>
      <c r="AK86" s="371"/>
      <c r="AL86" s="371"/>
      <c r="AM86" s="371"/>
      <c r="AN86" s="370"/>
      <c r="AO86" s="370"/>
    </row>
    <row r="87" spans="1:45" x14ac:dyDescent="0.2">
      <c r="A87" s="346"/>
      <c r="B87" s="358" t="s">
        <v>1254</v>
      </c>
      <c r="C87" s="472">
        <f t="shared" ref="C87:H87" si="8">+$C$80+SUMPRODUCT(C85:C86,$C$81:$C$82)</f>
        <v>28.137406357147935</v>
      </c>
      <c r="D87" s="472">
        <f t="shared" si="8"/>
        <v>25.948911055133141</v>
      </c>
      <c r="E87" s="472">
        <f t="shared" si="8"/>
        <v>21.409470637925576</v>
      </c>
      <c r="F87" s="472">
        <f t="shared" si="8"/>
        <v>21.409470637925576</v>
      </c>
      <c r="G87" s="472">
        <f t="shared" si="8"/>
        <v>20.161770506148589</v>
      </c>
      <c r="H87" s="472">
        <f t="shared" si="8"/>
        <v>20.161770506148589</v>
      </c>
      <c r="N87" s="370"/>
      <c r="O87" s="370"/>
      <c r="P87" s="370"/>
      <c r="Q87" s="370"/>
      <c r="R87" s="370"/>
      <c r="S87" s="370"/>
      <c r="T87" s="370"/>
      <c r="U87" s="370"/>
      <c r="V87" s="370"/>
      <c r="W87" s="370"/>
      <c r="X87" s="370"/>
      <c r="Y87" s="370"/>
      <c r="Z87" s="370"/>
      <c r="AA87" s="370"/>
      <c r="AB87" s="370"/>
      <c r="AC87" s="370"/>
      <c r="AD87" s="370"/>
      <c r="AE87" s="370"/>
      <c r="AF87" s="370"/>
      <c r="AG87" s="370"/>
      <c r="AH87" s="370"/>
      <c r="AI87" s="370"/>
      <c r="AJ87" s="370"/>
      <c r="AK87" s="371"/>
      <c r="AL87" s="371"/>
      <c r="AM87" s="371"/>
      <c r="AN87" s="370"/>
      <c r="AO87" s="370"/>
    </row>
    <row r="88" spans="1:45" x14ac:dyDescent="0.2">
      <c r="A88" s="346"/>
      <c r="B88" s="471"/>
      <c r="C88" s="388"/>
      <c r="D88" s="388"/>
      <c r="E88" s="388"/>
      <c r="G88" s="283"/>
      <c r="I88" s="370"/>
      <c r="J88" s="370"/>
      <c r="K88" s="370"/>
      <c r="L88" s="370"/>
      <c r="M88" s="370"/>
      <c r="N88" s="370"/>
      <c r="O88" s="370"/>
      <c r="P88" s="370"/>
      <c r="Q88" s="370"/>
      <c r="R88" s="370"/>
      <c r="S88" s="370"/>
      <c r="T88" s="370"/>
      <c r="U88" s="370"/>
      <c r="V88" s="370"/>
      <c r="W88" s="370"/>
      <c r="X88" s="370"/>
      <c r="Y88" s="370"/>
      <c r="Z88" s="370"/>
      <c r="AA88" s="370"/>
      <c r="AB88" s="370"/>
      <c r="AC88" s="370"/>
      <c r="AD88" s="370"/>
      <c r="AE88" s="370"/>
      <c r="AF88" s="370"/>
      <c r="AG88" s="370"/>
      <c r="AH88" s="370"/>
      <c r="AI88" s="370"/>
      <c r="AJ88" s="370"/>
      <c r="AK88" s="371"/>
      <c r="AL88" s="371"/>
      <c r="AM88" s="371"/>
      <c r="AN88" s="370"/>
      <c r="AO88" s="370"/>
    </row>
    <row r="89" spans="1:45" x14ac:dyDescent="0.2">
      <c r="A89" s="346"/>
      <c r="B89" s="471"/>
      <c r="C89" s="388"/>
      <c r="D89" s="388"/>
      <c r="E89" s="388"/>
      <c r="G89" s="283"/>
      <c r="I89" s="370"/>
      <c r="J89" s="370"/>
      <c r="K89" s="370"/>
      <c r="L89" s="370"/>
      <c r="M89" s="370"/>
      <c r="N89" s="370"/>
      <c r="O89" s="370"/>
      <c r="P89" s="370"/>
      <c r="Q89" s="370"/>
      <c r="R89" s="370"/>
      <c r="S89" s="370"/>
      <c r="T89" s="370"/>
      <c r="U89" s="370"/>
      <c r="V89" s="370"/>
      <c r="W89" s="370"/>
      <c r="X89" s="370"/>
      <c r="Y89" s="370"/>
      <c r="Z89" s="370"/>
      <c r="AA89" s="370"/>
      <c r="AB89" s="370"/>
      <c r="AC89" s="370"/>
      <c r="AD89" s="370"/>
      <c r="AE89" s="370"/>
      <c r="AF89" s="370"/>
      <c r="AG89" s="370"/>
      <c r="AH89" s="370"/>
      <c r="AI89" s="370"/>
      <c r="AJ89" s="370"/>
      <c r="AK89" s="371"/>
      <c r="AL89" s="371"/>
      <c r="AM89" s="371"/>
      <c r="AN89" s="370"/>
      <c r="AO89" s="370"/>
    </row>
    <row r="90" spans="1:45" x14ac:dyDescent="0.2">
      <c r="A90" s="346"/>
      <c r="B90" s="347"/>
      <c r="C90" s="388"/>
      <c r="D90" s="388"/>
      <c r="E90" s="388"/>
      <c r="G90" s="283"/>
      <c r="I90" s="370"/>
      <c r="J90" s="370"/>
      <c r="K90" s="370"/>
      <c r="L90" s="370"/>
      <c r="M90" s="370"/>
      <c r="N90" s="370"/>
      <c r="O90" s="370"/>
      <c r="P90" s="370"/>
      <c r="Q90" s="370"/>
      <c r="R90" s="370"/>
      <c r="S90" s="370"/>
      <c r="T90" s="370"/>
      <c r="U90" s="370"/>
      <c r="V90" s="370"/>
      <c r="W90" s="370"/>
      <c r="X90" s="370"/>
      <c r="Y90" s="370"/>
      <c r="Z90" s="370"/>
      <c r="AA90" s="370"/>
      <c r="AB90" s="370"/>
      <c r="AC90" s="370"/>
      <c r="AD90" s="370"/>
      <c r="AE90" s="370"/>
      <c r="AF90" s="370"/>
      <c r="AG90" s="370"/>
      <c r="AH90" s="370"/>
      <c r="AI90" s="370"/>
      <c r="AJ90" s="370"/>
      <c r="AK90" s="371"/>
      <c r="AL90" s="371"/>
      <c r="AM90" s="371"/>
      <c r="AN90" s="370"/>
      <c r="AO90" s="370"/>
    </row>
    <row r="91" spans="1:45" x14ac:dyDescent="0.2">
      <c r="A91" s="376"/>
      <c r="B91" s="377"/>
      <c r="C91" s="378"/>
      <c r="D91" s="377"/>
      <c r="E91" s="377"/>
      <c r="F91" s="377"/>
      <c r="G91" s="377"/>
      <c r="H91" s="377"/>
      <c r="I91" s="377"/>
      <c r="J91" s="377"/>
      <c r="K91" s="377"/>
      <c r="L91" s="379"/>
      <c r="M91" s="379"/>
      <c r="N91" s="379"/>
      <c r="O91" s="379"/>
      <c r="P91" s="379"/>
      <c r="Q91" s="379"/>
      <c r="R91" s="379"/>
      <c r="S91" s="379"/>
      <c r="T91" s="379"/>
      <c r="U91" s="379"/>
      <c r="V91" s="379"/>
      <c r="W91" s="379"/>
      <c r="X91" s="379"/>
      <c r="Y91" s="379"/>
      <c r="Z91" s="379"/>
      <c r="AA91" s="379"/>
      <c r="AB91" s="379"/>
      <c r="AC91" s="379"/>
      <c r="AD91" s="379"/>
      <c r="AE91" s="379"/>
      <c r="AF91" s="379"/>
      <c r="AG91" s="379"/>
      <c r="AH91" s="379"/>
      <c r="AI91" s="379"/>
      <c r="AJ91" s="379"/>
      <c r="AK91" s="379"/>
      <c r="AL91" s="379"/>
      <c r="AM91" s="379"/>
      <c r="AN91" s="379"/>
      <c r="AO91" s="380"/>
      <c r="AP91" s="380"/>
      <c r="AQ91" s="380"/>
      <c r="AR91" s="379"/>
      <c r="AS91" s="379"/>
    </row>
    <row r="92" spans="1:45" x14ac:dyDescent="0.2">
      <c r="A92" s="346"/>
      <c r="B92" s="347"/>
      <c r="C92" s="348"/>
      <c r="D92" s="348"/>
      <c r="E92" s="348"/>
      <c r="F92" s="348"/>
      <c r="G92" s="348"/>
      <c r="H92" s="348"/>
      <c r="I92" s="348"/>
      <c r="J92" s="348"/>
      <c r="K92" s="348"/>
      <c r="L92" s="348"/>
      <c r="M92" s="348"/>
      <c r="N92" s="348"/>
      <c r="O92" s="348"/>
      <c r="P92" s="348"/>
      <c r="Q92" s="348"/>
      <c r="R92" s="348"/>
      <c r="S92" s="348"/>
      <c r="T92" s="348"/>
      <c r="U92" s="348"/>
      <c r="V92" s="348"/>
      <c r="W92" s="348"/>
      <c r="X92" s="348"/>
      <c r="Y92" s="348"/>
      <c r="Z92" s="348"/>
      <c r="AA92" s="348"/>
      <c r="AB92" s="348"/>
      <c r="AC92" s="348"/>
      <c r="AD92" s="348"/>
      <c r="AE92" s="348"/>
      <c r="AF92" s="348"/>
    </row>
    <row r="93" spans="1:45" x14ac:dyDescent="0.2">
      <c r="A93" s="350"/>
      <c r="B93" s="347"/>
      <c r="C93" s="348"/>
      <c r="D93" s="348"/>
      <c r="E93" s="348"/>
      <c r="F93" s="348"/>
      <c r="G93" s="348"/>
      <c r="H93" s="348"/>
      <c r="I93" s="348"/>
      <c r="J93" s="348"/>
      <c r="K93" s="348"/>
      <c r="L93" s="348"/>
      <c r="M93" s="348"/>
      <c r="N93" s="348"/>
      <c r="O93" s="348"/>
      <c r="P93" s="348"/>
      <c r="Q93" s="348"/>
      <c r="R93" s="348"/>
      <c r="S93" s="348"/>
      <c r="T93" s="348"/>
      <c r="U93" s="348"/>
      <c r="V93" s="348"/>
      <c r="W93" s="348"/>
      <c r="X93" s="348"/>
      <c r="Y93" s="348"/>
      <c r="Z93" s="348"/>
      <c r="AA93" s="348"/>
      <c r="AB93" s="348"/>
      <c r="AC93" s="348"/>
      <c r="AD93" s="348"/>
      <c r="AE93" s="348"/>
      <c r="AF93" s="348"/>
    </row>
    <row r="94" spans="1:45" x14ac:dyDescent="0.2">
      <c r="A94" s="355"/>
      <c r="B94" s="347"/>
      <c r="C94" s="348"/>
      <c r="D94" s="348"/>
      <c r="E94" s="348"/>
      <c r="F94" s="348"/>
      <c r="G94" s="348"/>
      <c r="H94" s="348"/>
      <c r="I94" s="348"/>
      <c r="J94" s="348"/>
      <c r="K94" s="348"/>
      <c r="L94" s="348"/>
      <c r="M94" s="348"/>
      <c r="N94" s="348"/>
      <c r="O94" s="348"/>
      <c r="P94" s="348"/>
      <c r="Q94" s="348"/>
      <c r="R94" s="348"/>
      <c r="S94" s="348"/>
      <c r="T94" s="348"/>
      <c r="U94" s="348"/>
      <c r="V94" s="348"/>
      <c r="W94" s="348"/>
      <c r="X94" s="348"/>
      <c r="Y94" s="348"/>
      <c r="Z94" s="348"/>
      <c r="AA94" s="348"/>
      <c r="AB94" s="348"/>
      <c r="AC94" s="348"/>
      <c r="AD94" s="348"/>
      <c r="AE94" s="348"/>
      <c r="AF94" s="348"/>
    </row>
  </sheetData>
  <mergeCells count="23">
    <mergeCell ref="A25:B26"/>
    <mergeCell ref="B47:B48"/>
    <mergeCell ref="C47:P48"/>
    <mergeCell ref="C67:P68"/>
    <mergeCell ref="B79:C79"/>
    <mergeCell ref="B77:G77"/>
    <mergeCell ref="E79:F79"/>
    <mergeCell ref="B70:C71"/>
    <mergeCell ref="C64:P64"/>
    <mergeCell ref="B73:C73"/>
    <mergeCell ref="B72:C72"/>
    <mergeCell ref="A50:B51"/>
    <mergeCell ref="B67:B68"/>
    <mergeCell ref="C22:M22"/>
    <mergeCell ref="C23:M23"/>
    <mergeCell ref="B22:B23"/>
    <mergeCell ref="B2:B3"/>
    <mergeCell ref="A9:B10"/>
    <mergeCell ref="C2:O3"/>
    <mergeCell ref="B4:B5"/>
    <mergeCell ref="C4:O5"/>
    <mergeCell ref="B6:B7"/>
    <mergeCell ref="C6:O7"/>
  </mergeCells>
  <phoneticPr fontId="30" type="noConversion"/>
  <pageMargins left="0.7" right="0.7" top="0.75" bottom="0.75" header="0.3" footer="0.3"/>
  <pageSetup paperSize="9"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93039-FADD-4319-9AA4-C77FB87925E8}">
  <sheetPr>
    <tabColor theme="9" tint="0.79998168889431442"/>
  </sheetPr>
  <dimension ref="A1:AA65"/>
  <sheetViews>
    <sheetView zoomScale="68" workbookViewId="0"/>
  </sheetViews>
  <sheetFormatPr baseColWidth="10" defaultColWidth="8.83203125" defaultRowHeight="16" x14ac:dyDescent="0.2"/>
  <cols>
    <col min="1" max="1" width="11.5" style="251" customWidth="1"/>
    <col min="2" max="2" width="54.6640625" style="251" bestFit="1" customWidth="1"/>
    <col min="3" max="6" width="11.33203125" style="251" bestFit="1" customWidth="1"/>
    <col min="7" max="7" width="9.83203125" style="251" bestFit="1" customWidth="1"/>
    <col min="8" max="9" width="10.1640625" style="251" bestFit="1" customWidth="1"/>
    <col min="10" max="10" width="11.33203125" style="251" bestFit="1" customWidth="1"/>
    <col min="11" max="11" width="10.1640625" style="251" bestFit="1" customWidth="1"/>
    <col min="12" max="12" width="9.83203125" style="251" bestFit="1" customWidth="1"/>
    <col min="13" max="15" width="12" style="251" bestFit="1" customWidth="1"/>
    <col min="16" max="16" width="19" style="251" bestFit="1" customWidth="1"/>
    <col min="17" max="17" width="15.6640625" style="251" bestFit="1" customWidth="1"/>
    <col min="18" max="18" width="19" style="251" bestFit="1" customWidth="1"/>
    <col min="19" max="19" width="8.83203125" style="251"/>
    <col min="20" max="20" width="34.6640625" style="251" bestFit="1" customWidth="1"/>
    <col min="21" max="21" width="13" style="251" bestFit="1" customWidth="1"/>
    <col min="22" max="22" width="12.1640625" style="251" bestFit="1" customWidth="1"/>
    <col min="23" max="24" width="9.1640625" style="251" bestFit="1" customWidth="1"/>
    <col min="25" max="25" width="13" style="251" bestFit="1" customWidth="1"/>
    <col min="26" max="26" width="12.33203125" style="251" bestFit="1" customWidth="1"/>
    <col min="27" max="27" width="12.83203125" style="251" bestFit="1" customWidth="1"/>
    <col min="28" max="28" width="12.1640625" style="251" bestFit="1" customWidth="1"/>
    <col min="29" max="16384" width="8.83203125" style="251"/>
  </cols>
  <sheetData>
    <row r="1" spans="1:19" x14ac:dyDescent="0.2">
      <c r="C1" s="108">
        <v>2012</v>
      </c>
      <c r="D1" s="108">
        <v>2013</v>
      </c>
      <c r="E1" s="108">
        <v>2014</v>
      </c>
      <c r="F1" s="108">
        <v>2015</v>
      </c>
      <c r="G1" s="108">
        <v>2016</v>
      </c>
      <c r="H1" s="108">
        <v>2017</v>
      </c>
      <c r="I1" s="108">
        <v>2018</v>
      </c>
      <c r="J1" s="108">
        <v>2019</v>
      </c>
      <c r="K1" s="108">
        <v>2020</v>
      </c>
      <c r="L1" s="108">
        <v>2021</v>
      </c>
      <c r="M1" s="108">
        <v>2022</v>
      </c>
      <c r="N1" s="108" t="s">
        <v>432</v>
      </c>
      <c r="O1"/>
      <c r="P1" s="390" t="s">
        <v>1257</v>
      </c>
      <c r="Q1" s="390" t="s">
        <v>1258</v>
      </c>
      <c r="R1" s="390" t="s">
        <v>1259</v>
      </c>
    </row>
    <row r="2" spans="1:19" x14ac:dyDescent="0.2">
      <c r="B2" s="474" t="s">
        <v>1260</v>
      </c>
      <c r="Q2" s="366" t="s">
        <v>1261</v>
      </c>
      <c r="R2" s="366" t="s">
        <v>1262</v>
      </c>
    </row>
    <row r="3" spans="1:19" x14ac:dyDescent="0.2">
      <c r="B3" s="348" t="s">
        <v>1263</v>
      </c>
      <c r="C3" s="348">
        <v>8</v>
      </c>
      <c r="D3" s="348">
        <v>5</v>
      </c>
      <c r="E3" s="348">
        <v>0</v>
      </c>
      <c r="F3" s="348">
        <v>0</v>
      </c>
      <c r="G3" s="348">
        <v>0</v>
      </c>
      <c r="H3" s="348">
        <v>0</v>
      </c>
      <c r="I3" s="348">
        <v>0</v>
      </c>
      <c r="J3" s="348">
        <v>0</v>
      </c>
      <c r="K3" s="348">
        <v>0</v>
      </c>
      <c r="L3" s="348">
        <v>0</v>
      </c>
      <c r="M3" s="348">
        <v>0</v>
      </c>
      <c r="N3" s="348">
        <v>0</v>
      </c>
      <c r="O3" s="348"/>
      <c r="P3" s="348">
        <v>148</v>
      </c>
      <c r="Q3" s="348">
        <v>19</v>
      </c>
      <c r="R3" s="360">
        <f>+Q3-P3*$R$11</f>
        <v>6.5806391999999985</v>
      </c>
    </row>
    <row r="4" spans="1:19" x14ac:dyDescent="0.2">
      <c r="B4" s="348" t="s">
        <v>1264</v>
      </c>
      <c r="C4" s="348">
        <v>41</v>
      </c>
      <c r="D4" s="348">
        <v>43</v>
      </c>
      <c r="E4" s="348">
        <v>38</v>
      </c>
      <c r="F4" s="348">
        <v>38</v>
      </c>
      <c r="G4" s="348">
        <v>37</v>
      </c>
      <c r="H4" s="348">
        <v>36</v>
      </c>
      <c r="I4" s="348">
        <v>35</v>
      </c>
      <c r="J4" s="348">
        <v>31</v>
      </c>
      <c r="K4" s="348">
        <v>17</v>
      </c>
      <c r="L4" s="348">
        <v>22</v>
      </c>
      <c r="M4" s="348">
        <v>13</v>
      </c>
      <c r="N4" s="348">
        <v>10</v>
      </c>
      <c r="O4" s="348"/>
      <c r="P4" s="348">
        <v>221</v>
      </c>
      <c r="Q4" s="348">
        <v>33</v>
      </c>
      <c r="R4" s="360">
        <f t="shared" ref="R4:R9" si="0">+Q4-P4*$R$11</f>
        <v>14.4548734</v>
      </c>
      <c r="S4" s="365"/>
    </row>
    <row r="5" spans="1:19" x14ac:dyDescent="0.2">
      <c r="B5" s="348" t="s">
        <v>1265</v>
      </c>
      <c r="C5" s="348">
        <v>8</v>
      </c>
      <c r="D5" s="348">
        <v>10</v>
      </c>
      <c r="E5" s="348">
        <v>10</v>
      </c>
      <c r="F5" s="348">
        <v>10</v>
      </c>
      <c r="G5" s="348">
        <v>10</v>
      </c>
      <c r="H5" s="348">
        <v>10</v>
      </c>
      <c r="I5" s="348">
        <v>10</v>
      </c>
      <c r="J5" s="348">
        <v>10</v>
      </c>
      <c r="K5" s="348">
        <v>10</v>
      </c>
      <c r="L5" s="348">
        <v>10</v>
      </c>
      <c r="M5" s="348">
        <v>10</v>
      </c>
      <c r="N5" s="348">
        <v>10</v>
      </c>
      <c r="O5" s="348"/>
      <c r="P5" s="348">
        <v>362</v>
      </c>
      <c r="Q5" s="348">
        <v>46</v>
      </c>
      <c r="R5" s="360">
        <f t="shared" si="0"/>
        <v>15.622914799999997</v>
      </c>
      <c r="S5" s="365"/>
    </row>
    <row r="6" spans="1:19" x14ac:dyDescent="0.2">
      <c r="B6" s="348" t="s">
        <v>1266</v>
      </c>
      <c r="C6" s="348">
        <v>3</v>
      </c>
      <c r="D6" s="348">
        <v>5</v>
      </c>
      <c r="E6" s="348">
        <v>10</v>
      </c>
      <c r="F6" s="348">
        <v>10</v>
      </c>
      <c r="G6" s="348">
        <v>10</v>
      </c>
      <c r="H6" s="348">
        <v>10</v>
      </c>
      <c r="I6" s="348">
        <v>10</v>
      </c>
      <c r="J6" s="348">
        <v>10</v>
      </c>
      <c r="K6" s="348">
        <v>10</v>
      </c>
      <c r="L6" s="348">
        <v>10</v>
      </c>
      <c r="M6" s="348">
        <v>10</v>
      </c>
      <c r="N6" s="348">
        <v>10</v>
      </c>
      <c r="O6" s="348"/>
      <c r="P6" s="348">
        <v>247</v>
      </c>
      <c r="Q6" s="348">
        <v>36</v>
      </c>
      <c r="R6" s="360">
        <f t="shared" si="0"/>
        <v>15.273093799999998</v>
      </c>
      <c r="S6" s="365"/>
    </row>
    <row r="7" spans="1:19" x14ac:dyDescent="0.2">
      <c r="B7" s="348" t="s">
        <v>1267</v>
      </c>
      <c r="C7" s="348">
        <v>0</v>
      </c>
      <c r="D7" s="348">
        <v>0</v>
      </c>
      <c r="E7" s="348">
        <v>0</v>
      </c>
      <c r="F7" s="348">
        <v>7</v>
      </c>
      <c r="G7" s="348">
        <v>12</v>
      </c>
      <c r="H7" s="348">
        <v>14</v>
      </c>
      <c r="I7" s="348">
        <v>14</v>
      </c>
      <c r="J7" s="348">
        <v>16</v>
      </c>
      <c r="K7" s="348">
        <v>12</v>
      </c>
      <c r="L7" s="348">
        <v>17</v>
      </c>
      <c r="M7" s="348">
        <v>20</v>
      </c>
      <c r="N7" s="348">
        <v>21</v>
      </c>
      <c r="O7" s="348"/>
      <c r="P7" s="348">
        <v>313</v>
      </c>
      <c r="Q7" s="348">
        <v>44</v>
      </c>
      <c r="R7" s="360">
        <f t="shared" si="0"/>
        <v>17.734730199999998</v>
      </c>
      <c r="S7" s="365"/>
    </row>
    <row r="8" spans="1:19" x14ac:dyDescent="0.2">
      <c r="B8" s="348" t="s">
        <v>1268</v>
      </c>
      <c r="C8" s="348">
        <v>0</v>
      </c>
      <c r="D8" s="348">
        <v>0</v>
      </c>
      <c r="E8" s="348">
        <v>0</v>
      </c>
      <c r="F8" s="348">
        <v>1</v>
      </c>
      <c r="G8" s="348">
        <v>7</v>
      </c>
      <c r="H8" s="348">
        <v>5</v>
      </c>
      <c r="I8" s="348">
        <v>7</v>
      </c>
      <c r="J8" s="348">
        <v>13</v>
      </c>
      <c r="K8" s="348">
        <v>10</v>
      </c>
      <c r="L8" s="348">
        <v>0</v>
      </c>
      <c r="M8" s="348">
        <v>0</v>
      </c>
      <c r="N8" s="348">
        <v>0</v>
      </c>
      <c r="O8" s="348"/>
      <c r="P8" s="348">
        <v>348</v>
      </c>
      <c r="Q8" s="348">
        <v>45</v>
      </c>
      <c r="R8" s="360">
        <f t="shared" si="0"/>
        <v>15.7977192</v>
      </c>
      <c r="S8" s="365"/>
    </row>
    <row r="9" spans="1:19" ht="17" thickBot="1" x14ac:dyDescent="0.25">
      <c r="B9" s="363" t="s">
        <v>1269</v>
      </c>
      <c r="C9" s="363">
        <v>7</v>
      </c>
      <c r="D9" s="363">
        <v>6</v>
      </c>
      <c r="E9" s="363">
        <v>3</v>
      </c>
      <c r="F9" s="363">
        <v>0</v>
      </c>
      <c r="G9" s="363">
        <v>0</v>
      </c>
      <c r="H9" s="363">
        <v>0</v>
      </c>
      <c r="I9" s="363">
        <v>0</v>
      </c>
      <c r="J9" s="363">
        <v>0</v>
      </c>
      <c r="K9" s="363">
        <v>0</v>
      </c>
      <c r="L9" s="363">
        <v>0</v>
      </c>
      <c r="M9" s="363">
        <v>0</v>
      </c>
      <c r="N9" s="363">
        <v>0</v>
      </c>
      <c r="O9" s="348"/>
      <c r="P9" s="363">
        <v>260</v>
      </c>
      <c r="Q9" s="363">
        <v>37</v>
      </c>
      <c r="R9" s="364">
        <f t="shared" si="0"/>
        <v>15.182203999999999</v>
      </c>
      <c r="S9" s="365"/>
    </row>
    <row r="10" spans="1:19" ht="17" thickTop="1" x14ac:dyDescent="0.2"/>
    <row r="11" spans="1:19" x14ac:dyDescent="0.2">
      <c r="B11" s="108" t="s">
        <v>1270</v>
      </c>
      <c r="C11" s="361" cm="1">
        <f t="array" ref="C11">+SUMPRODUCT(C3:C9/SUM(C3:C9),$P$3:$P$9)</f>
        <v>234.35820895522386</v>
      </c>
      <c r="D11" s="361" cm="1">
        <f t="array" ref="D11">+SUMPRODUCT(D3:D9/SUM(D3:D9),$P$3:$P$9)</f>
        <v>241.42028985507244</v>
      </c>
      <c r="E11" s="361" cm="1">
        <f t="array" ref="E11">+SUMPRODUCT(E3:E9/SUM(E3:E9),$P$3:$P$9)</f>
        <v>250.29508196721312</v>
      </c>
      <c r="F11" s="361" cm="1">
        <f t="array" ref="F11">+SUMPRODUCT(F3:F9/SUM(F3:F9),$P$3:$P$9)</f>
        <v>257.98484848484844</v>
      </c>
      <c r="G11" s="361" cm="1">
        <f t="array" ref="G11">+SUMPRODUCT(G3:G9/SUM(G3:G9),$P$3:$P$9)</f>
        <v>269.1973684210526</v>
      </c>
      <c r="H11" s="361" cm="1">
        <f t="array" ref="H11">+SUMPRODUCT(H3:H9/SUM(H3:H9),$P$3:$P$9)</f>
        <v>268.90666666666669</v>
      </c>
      <c r="I11" s="361" cm="1">
        <f t="array" ref="I11">+SUMPRODUCT(I3:I9/SUM(I3:I9),$P$3:$P$9)</f>
        <v>271.61842105263156</v>
      </c>
      <c r="J11" s="361" cm="1">
        <f t="array" ref="J11">+SUMPRODUCT(J3:J9/SUM(J3:J9),$P$3:$P$9)</f>
        <v>280.91249999999997</v>
      </c>
      <c r="K11" s="361" cm="1">
        <f t="array" ref="K11">+SUMPRODUCT(K3:K9/SUM(K3:K9),$P$3:$P$9)</f>
        <v>289.54237288135596</v>
      </c>
      <c r="L11" s="361" cm="1">
        <f t="array" ref="L11">+SUMPRODUCT(L3:L9/SUM(L3:L9),$P$3:$P$9)</f>
        <v>275.81355932203388</v>
      </c>
      <c r="M11" s="361" cm="1">
        <f t="array" ref="M11">+SUMPRODUCT(M3:M9/SUM(M3:M9),$P$3:$P$9)</f>
        <v>287.22641509433964</v>
      </c>
      <c r="N11" s="361" cm="1">
        <f t="array" ref="N11">+SUMPRODUCT(N3:N9/SUM(N3:N9),$P$3:$P$9)</f>
        <v>291.62745098039215</v>
      </c>
      <c r="P11" s="1210" t="s">
        <v>1271</v>
      </c>
      <c r="Q11" s="1210"/>
      <c r="R11" s="369">
        <v>8.3914600000000006E-2</v>
      </c>
    </row>
    <row r="12" spans="1:19" x14ac:dyDescent="0.2">
      <c r="B12" s="108" t="s">
        <v>1272</v>
      </c>
      <c r="C12" s="348">
        <f t="shared" ref="C12:N12" si="1">+SUMPRODUCT(C3:C9,$P$3:$P$9)</f>
        <v>15702</v>
      </c>
      <c r="D12" s="348">
        <f t="shared" si="1"/>
        <v>16658</v>
      </c>
      <c r="E12" s="348">
        <f t="shared" si="1"/>
        <v>15268</v>
      </c>
      <c r="F12" s="348">
        <f t="shared" si="1"/>
        <v>17027</v>
      </c>
      <c r="G12" s="348">
        <f t="shared" si="1"/>
        <v>20459</v>
      </c>
      <c r="H12" s="348">
        <f t="shared" si="1"/>
        <v>20168</v>
      </c>
      <c r="I12" s="348">
        <f t="shared" si="1"/>
        <v>20643</v>
      </c>
      <c r="J12" s="348">
        <f t="shared" si="1"/>
        <v>22473</v>
      </c>
      <c r="K12" s="348">
        <f t="shared" si="1"/>
        <v>17083</v>
      </c>
      <c r="L12" s="348">
        <f t="shared" si="1"/>
        <v>16273</v>
      </c>
      <c r="M12" s="348">
        <f t="shared" si="1"/>
        <v>15223</v>
      </c>
      <c r="N12" s="348">
        <f t="shared" si="1"/>
        <v>14873</v>
      </c>
    </row>
    <row r="14" spans="1:19" x14ac:dyDescent="0.2">
      <c r="B14" s="389" t="s">
        <v>1273</v>
      </c>
      <c r="C14" s="372" cm="1">
        <f t="array" ref="C14">+SUMPRODUCT(C3:C9/SUM(C3:C9),$R$3:$R$9)</f>
        <v>13.766760459701493</v>
      </c>
      <c r="D14" s="372" cm="1">
        <f t="array" ref="D14">+SUMPRODUCT(D3:D9/SUM(D3:D9),$R$3:$R$9)</f>
        <v>14.176095553623187</v>
      </c>
      <c r="E14" s="372" cm="1">
        <f t="array" ref="E14">+SUMPRODUCT(E3:E9/SUM(E3:E9),$R$3:$R$9)</f>
        <v>14.816260445901639</v>
      </c>
      <c r="F14" s="372" cm="1">
        <f t="array" ref="F14">+SUMPRODUCT(F3:F9/SUM(F3:F9),$R$3:$R$9)</f>
        <v>15.124031906060605</v>
      </c>
      <c r="G14" s="372" cm="1">
        <f t="array" ref="G14">+SUMPRODUCT(G3:G9/SUM(G3:G9),$R$3:$R$9)</f>
        <v>15.357778928947367</v>
      </c>
      <c r="H14" s="372" cm="1">
        <f t="array" ref="H14">+SUMPRODUCT(H3:H9/SUM(H3:H9),$R$3:$R$9)</f>
        <v>15.421471296</v>
      </c>
      <c r="I14" s="372" cm="1">
        <f t="array" ref="I14">+SUMPRODUCT(I3:I9/SUM(I3:I9),$R$3:$R$9)</f>
        <v>15.44409095</v>
      </c>
      <c r="J14" s="372" cm="1">
        <f t="array" ref="J14">+SUMPRODUCT(J3:J9/SUM(J3:J9),$R$3:$R$9)</f>
        <v>15.577339927500001</v>
      </c>
      <c r="K14" s="372" cm="1">
        <f t="array" ref="K14">+SUMPRODUCT(K3:K9/SUM(K3:K9),$R$3:$R$9)</f>
        <v>15.686218444067796</v>
      </c>
      <c r="L14" s="372" cm="1">
        <f t="array" ref="L14">+SUMPRODUCT(L3:L9/SUM(L3:L9),$R$3:$R$9)</f>
        <v>15.736571427118644</v>
      </c>
      <c r="M14" s="372" cm="1">
        <f t="array" ref="M14">+SUMPRODUCT(M3:M9/SUM(M3:M9),$R$3:$R$9)</f>
        <v>16.067321588679246</v>
      </c>
      <c r="N14" s="372" cm="1">
        <f t="array" ref="N14">+SUMPRODUCT(N3:N9/SUM(N3:N9),$R$3:$R$9)</f>
        <v>16.194865768627448</v>
      </c>
    </row>
    <row r="15" spans="1:19" x14ac:dyDescent="0.2">
      <c r="A15" s="480" t="s">
        <v>1274</v>
      </c>
      <c r="B15" s="389" t="s">
        <v>1275</v>
      </c>
      <c r="C15" s="372">
        <f t="shared" ref="C15:N15" si="2">+SUMPRODUCT(C3:C9,$R$3:$R$9)</f>
        <v>922.3729507999999</v>
      </c>
      <c r="D15" s="372">
        <f t="shared" si="2"/>
        <v>978.15059319999989</v>
      </c>
      <c r="E15" s="372">
        <f t="shared" si="2"/>
        <v>903.79188719999991</v>
      </c>
      <c r="F15" s="372">
        <f t="shared" si="2"/>
        <v>998.18610579999984</v>
      </c>
      <c r="G15" s="372">
        <f t="shared" si="2"/>
        <v>1167.1911986</v>
      </c>
      <c r="H15" s="372">
        <f t="shared" si="2"/>
        <v>1156.6103471999998</v>
      </c>
      <c r="I15" s="372">
        <f t="shared" si="2"/>
        <v>1173.7509121999999</v>
      </c>
      <c r="J15" s="372">
        <f t="shared" si="2"/>
        <v>1246.1871942</v>
      </c>
      <c r="K15" s="372">
        <f t="shared" si="2"/>
        <v>925.48688820000007</v>
      </c>
      <c r="L15" s="372">
        <f t="shared" si="2"/>
        <v>928.45771419999994</v>
      </c>
      <c r="M15" s="372">
        <f t="shared" si="2"/>
        <v>851.56804419999992</v>
      </c>
      <c r="N15" s="372">
        <f t="shared" si="2"/>
        <v>825.93815419999987</v>
      </c>
    </row>
    <row r="18" spans="1:16" x14ac:dyDescent="0.2">
      <c r="B18" s="474" t="s">
        <v>1276</v>
      </c>
      <c r="P18" s="390" t="s">
        <v>1259</v>
      </c>
    </row>
    <row r="19" spans="1:16" ht="17" thickBot="1" x14ac:dyDescent="0.25">
      <c r="B19" s="363" t="s">
        <v>1198</v>
      </c>
      <c r="C19" s="363">
        <v>16</v>
      </c>
      <c r="D19" s="363">
        <v>15</v>
      </c>
      <c r="E19" s="363">
        <v>15</v>
      </c>
      <c r="F19" s="363">
        <v>10</v>
      </c>
      <c r="G19" s="363">
        <v>9</v>
      </c>
      <c r="H19" s="363">
        <v>10</v>
      </c>
      <c r="I19" s="363">
        <v>11</v>
      </c>
      <c r="J19" s="363">
        <v>11</v>
      </c>
      <c r="K19" s="363">
        <v>12</v>
      </c>
      <c r="L19" s="363">
        <v>13</v>
      </c>
      <c r="M19" s="363">
        <v>16</v>
      </c>
      <c r="N19" s="363">
        <v>20</v>
      </c>
      <c r="P19" s="363">
        <v>28</v>
      </c>
    </row>
    <row r="20" spans="1:16" ht="17" thickTop="1" x14ac:dyDescent="0.2"/>
    <row r="21" spans="1:16" x14ac:dyDescent="0.2">
      <c r="A21" s="480" t="s">
        <v>1277</v>
      </c>
      <c r="B21" s="389" t="s">
        <v>1278</v>
      </c>
      <c r="C21" s="476">
        <f t="shared" ref="C21:N21" si="3">+C19*$P$19</f>
        <v>448</v>
      </c>
      <c r="D21" s="476">
        <f t="shared" si="3"/>
        <v>420</v>
      </c>
      <c r="E21" s="476">
        <f t="shared" si="3"/>
        <v>420</v>
      </c>
      <c r="F21" s="476">
        <f t="shared" si="3"/>
        <v>280</v>
      </c>
      <c r="G21" s="476">
        <f t="shared" si="3"/>
        <v>252</v>
      </c>
      <c r="H21" s="476">
        <f t="shared" si="3"/>
        <v>280</v>
      </c>
      <c r="I21" s="476">
        <f t="shared" si="3"/>
        <v>308</v>
      </c>
      <c r="J21" s="476">
        <f t="shared" si="3"/>
        <v>308</v>
      </c>
      <c r="K21" s="476">
        <f t="shared" si="3"/>
        <v>336</v>
      </c>
      <c r="L21" s="476">
        <f t="shared" si="3"/>
        <v>364</v>
      </c>
      <c r="M21" s="476">
        <f t="shared" si="3"/>
        <v>448</v>
      </c>
      <c r="N21" s="476">
        <f t="shared" si="3"/>
        <v>560</v>
      </c>
    </row>
    <row r="22" spans="1:16" x14ac:dyDescent="0.2">
      <c r="B22" s="476"/>
      <c r="C22" s="476"/>
      <c r="D22" s="476"/>
      <c r="E22" s="476"/>
      <c r="F22" s="476"/>
      <c r="G22" s="476"/>
      <c r="H22" s="476"/>
      <c r="I22" s="476"/>
      <c r="J22" s="476"/>
      <c r="K22" s="476"/>
      <c r="L22" s="476"/>
      <c r="M22" s="476"/>
      <c r="N22" s="476"/>
    </row>
    <row r="23" spans="1:16" x14ac:dyDescent="0.2">
      <c r="B23" s="433" t="s">
        <v>1279</v>
      </c>
      <c r="C23" s="479">
        <f t="shared" ref="C23:N23" si="4">+C21/(C21+C15)</f>
        <v>0.32691830332645239</v>
      </c>
      <c r="D23" s="479">
        <f t="shared" si="4"/>
        <v>0.3003968256657748</v>
      </c>
      <c r="E23" s="479">
        <f t="shared" si="4"/>
        <v>0.31727041392311078</v>
      </c>
      <c r="F23" s="479">
        <f t="shared" si="4"/>
        <v>0.21906043159869248</v>
      </c>
      <c r="G23" s="479">
        <f t="shared" si="4"/>
        <v>0.17756592645768399</v>
      </c>
      <c r="H23" s="479">
        <f t="shared" si="4"/>
        <v>0.19490323214344732</v>
      </c>
      <c r="I23" s="479">
        <f t="shared" si="4"/>
        <v>0.20786219698876593</v>
      </c>
      <c r="J23" s="479">
        <f t="shared" si="4"/>
        <v>0.19817432620048028</v>
      </c>
      <c r="K23" s="479">
        <f t="shared" si="4"/>
        <v>0.26635235224635129</v>
      </c>
      <c r="L23" s="479">
        <f t="shared" si="4"/>
        <v>0.28163397223816117</v>
      </c>
      <c r="M23" s="479">
        <f t="shared" si="4"/>
        <v>0.34472992930184276</v>
      </c>
      <c r="N23" s="479">
        <f t="shared" si="4"/>
        <v>0.40405843385071305</v>
      </c>
    </row>
    <row r="26" spans="1:16" x14ac:dyDescent="0.2">
      <c r="C26" s="869">
        <v>2027</v>
      </c>
      <c r="D26" s="477" t="s">
        <v>1280</v>
      </c>
    </row>
    <row r="27" spans="1:16" x14ac:dyDescent="0.2">
      <c r="A27" s="480" t="s">
        <v>1274</v>
      </c>
      <c r="B27" s="389" t="s">
        <v>1275</v>
      </c>
      <c r="C27" s="870">
        <f>+M15*(61/53)</f>
        <v>980.1066169094338</v>
      </c>
    </row>
    <row r="28" spans="1:16" ht="18.5" customHeight="1" x14ac:dyDescent="0.2">
      <c r="A28" s="480" t="s">
        <v>1277</v>
      </c>
      <c r="B28" s="478" t="s">
        <v>1278</v>
      </c>
      <c r="C28" s="870">
        <f>+N21*(19/20)</f>
        <v>532</v>
      </c>
    </row>
    <row r="30" spans="1:16" x14ac:dyDescent="0.2">
      <c r="B30" s="433" t="s">
        <v>1279</v>
      </c>
      <c r="C30" s="481">
        <f>+C28/SUM(C27:C28)</f>
        <v>0.35182704317989477</v>
      </c>
    </row>
    <row r="31" spans="1:16" x14ac:dyDescent="0.2">
      <c r="B31" s="433"/>
      <c r="C31" s="481"/>
    </row>
    <row r="32" spans="1:16" x14ac:dyDescent="0.2">
      <c r="B32" s="433"/>
      <c r="C32" s="481"/>
    </row>
    <row r="33" spans="1:17" x14ac:dyDescent="0.2">
      <c r="B33" s="433"/>
      <c r="C33" s="481"/>
    </row>
    <row r="35" spans="1:17" x14ac:dyDescent="0.2">
      <c r="C35" s="215" t="s">
        <v>671</v>
      </c>
      <c r="D35" s="111">
        <v>2013</v>
      </c>
      <c r="E35" s="111">
        <v>2014</v>
      </c>
      <c r="F35" s="111">
        <v>2015</v>
      </c>
      <c r="G35" s="111">
        <v>2016</v>
      </c>
      <c r="H35" s="111">
        <v>2017</v>
      </c>
      <c r="I35" s="111">
        <v>2018</v>
      </c>
      <c r="J35" s="111">
        <v>2019</v>
      </c>
      <c r="K35" s="113">
        <v>2020</v>
      </c>
      <c r="L35" s="113">
        <v>2021</v>
      </c>
    </row>
    <row r="36" spans="1:17" x14ac:dyDescent="0.2">
      <c r="A36" s="104"/>
      <c r="B36" s="673" t="s">
        <v>749</v>
      </c>
      <c r="C36" s="665">
        <v>73429</v>
      </c>
      <c r="D36" s="665">
        <v>225196</v>
      </c>
      <c r="E36" s="665">
        <v>524370</v>
      </c>
      <c r="F36" s="665">
        <v>57117.137986405163</v>
      </c>
      <c r="G36" s="665">
        <v>76084</v>
      </c>
      <c r="H36" s="665">
        <v>51316</v>
      </c>
      <c r="I36" s="665">
        <v>223753</v>
      </c>
      <c r="J36" s="665">
        <v>50322</v>
      </c>
      <c r="K36" s="665">
        <v>75566</v>
      </c>
      <c r="L36" s="665">
        <v>105000</v>
      </c>
    </row>
    <row r="37" spans="1:17" x14ac:dyDescent="0.2">
      <c r="A37" s="104"/>
      <c r="B37" s="673" t="s">
        <v>750</v>
      </c>
      <c r="C37" s="665">
        <v>-2389364</v>
      </c>
      <c r="D37" s="665">
        <v>-1381786</v>
      </c>
      <c r="E37" s="665">
        <v>-474656</v>
      </c>
      <c r="F37" s="665">
        <v>-1569749.3955385466</v>
      </c>
      <c r="G37" s="665">
        <v>-694370</v>
      </c>
      <c r="H37" s="665">
        <v>-403666</v>
      </c>
      <c r="I37" s="665">
        <v>-660707</v>
      </c>
      <c r="J37" s="665">
        <v>-1276621</v>
      </c>
      <c r="K37" s="665">
        <v>-324264</v>
      </c>
      <c r="L37" s="665">
        <v>-587245</v>
      </c>
      <c r="M37" s="674">
        <f>+H37+H36</f>
        <v>-352350</v>
      </c>
      <c r="N37" s="674">
        <f t="shared" ref="N37:O37" si="5">+I37+I36</f>
        <v>-436954</v>
      </c>
      <c r="O37" s="674">
        <f t="shared" si="5"/>
        <v>-1226299</v>
      </c>
      <c r="P37" s="674">
        <f>+K37+K36</f>
        <v>-248698</v>
      </c>
      <c r="Q37" s="674">
        <f>+L37+L36</f>
        <v>-482245</v>
      </c>
    </row>
    <row r="38" spans="1:17" x14ac:dyDescent="0.2">
      <c r="A38" s="104"/>
      <c r="B38" s="673" t="s">
        <v>751</v>
      </c>
      <c r="C38" s="665"/>
      <c r="D38" s="665"/>
      <c r="E38" s="665">
        <v>564266</v>
      </c>
      <c r="F38" s="665">
        <v>91</v>
      </c>
      <c r="G38" s="665">
        <v>1</v>
      </c>
      <c r="H38" s="665">
        <v>0</v>
      </c>
      <c r="I38" s="665">
        <v>0</v>
      </c>
      <c r="J38" s="665"/>
      <c r="K38" s="665"/>
      <c r="L38" s="665"/>
    </row>
    <row r="39" spans="1:17" x14ac:dyDescent="0.2">
      <c r="A39" s="104"/>
      <c r="B39" s="673" t="s">
        <v>752</v>
      </c>
      <c r="C39" s="665">
        <v>-59166</v>
      </c>
      <c r="D39" s="665">
        <v>-43484</v>
      </c>
      <c r="E39" s="665">
        <v>-1440445</v>
      </c>
      <c r="F39" s="665">
        <v>-52449</v>
      </c>
      <c r="G39" s="665">
        <v>-88587</v>
      </c>
      <c r="H39" s="665">
        <v>-87318</v>
      </c>
      <c r="I39" s="665">
        <v>-96206</v>
      </c>
      <c r="J39" s="665">
        <v>-140173</v>
      </c>
      <c r="K39" s="665">
        <v>-75433</v>
      </c>
      <c r="L39" s="665">
        <v>-88518</v>
      </c>
    </row>
    <row r="40" spans="1:17" x14ac:dyDescent="0.2">
      <c r="A40" s="104"/>
      <c r="B40" s="673" t="s">
        <v>754</v>
      </c>
      <c r="C40" s="665">
        <v>38035</v>
      </c>
      <c r="D40" s="665">
        <v>22144</v>
      </c>
      <c r="E40" s="665">
        <v>-55759</v>
      </c>
      <c r="F40" s="665"/>
      <c r="G40" s="665"/>
      <c r="H40" s="665"/>
      <c r="I40" s="665"/>
      <c r="J40" s="665"/>
      <c r="K40" s="665"/>
      <c r="L40" s="665"/>
    </row>
    <row r="41" spans="1:17" x14ac:dyDescent="0.2">
      <c r="A41" s="104"/>
      <c r="B41" s="673" t="s">
        <v>739</v>
      </c>
      <c r="C41" s="665">
        <v>27143</v>
      </c>
      <c r="D41" s="665">
        <v>75448</v>
      </c>
      <c r="E41" s="665">
        <v>-17399</v>
      </c>
      <c r="F41" s="665">
        <v>10576.157122302588</v>
      </c>
      <c r="G41" s="665">
        <v>843</v>
      </c>
      <c r="H41" s="665">
        <v>-9223</v>
      </c>
      <c r="I41" s="665">
        <v>-2476</v>
      </c>
      <c r="J41" s="665">
        <v>-2249</v>
      </c>
      <c r="K41" s="665">
        <v>-2192</v>
      </c>
      <c r="L41" s="665">
        <v>18475</v>
      </c>
    </row>
    <row r="42" spans="1:17" x14ac:dyDescent="0.2">
      <c r="A42" s="104"/>
      <c r="B42" s="673" t="s">
        <v>1281</v>
      </c>
      <c r="C42" s="665">
        <f>+SUM(C36:C41)</f>
        <v>-2309923</v>
      </c>
      <c r="D42" s="665">
        <f>+SUM(D36:D41)</f>
        <v>-1102482</v>
      </c>
      <c r="E42" s="665">
        <f>+SUM(E36:E41)</f>
        <v>-899623</v>
      </c>
      <c r="F42" s="665">
        <f t="shared" ref="F42:L42" si="6">+SUM(F36:F41)</f>
        <v>-1554414.100429839</v>
      </c>
      <c r="G42" s="665">
        <f t="shared" si="6"/>
        <v>-706029</v>
      </c>
      <c r="H42" s="665">
        <f t="shared" si="6"/>
        <v>-448891</v>
      </c>
      <c r="I42" s="665">
        <f t="shared" si="6"/>
        <v>-535636</v>
      </c>
      <c r="J42" s="665">
        <f>+SUM(J36:J41)</f>
        <v>-1368721</v>
      </c>
      <c r="K42" s="665">
        <f t="shared" si="6"/>
        <v>-326323</v>
      </c>
      <c r="L42" s="665">
        <f t="shared" si="6"/>
        <v>-552288</v>
      </c>
      <c r="M42" s="282">
        <f>+AVERAGE(C42:L42)</f>
        <v>-980433.01004298381</v>
      </c>
    </row>
    <row r="43" spans="1:17" x14ac:dyDescent="0.2">
      <c r="B43" s="666"/>
      <c r="C43" s="666"/>
      <c r="D43" s="666"/>
      <c r="E43" s="666"/>
      <c r="F43" s="666"/>
      <c r="G43" s="666"/>
      <c r="H43" s="666"/>
      <c r="I43" s="666"/>
      <c r="J43" s="666"/>
      <c r="K43" s="666"/>
      <c r="L43" s="666"/>
    </row>
    <row r="44" spans="1:17" x14ac:dyDescent="0.2">
      <c r="B44" s="178" t="s">
        <v>1282</v>
      </c>
      <c r="C44" s="104">
        <v>209</v>
      </c>
      <c r="D44" s="104">
        <v>248</v>
      </c>
      <c r="E44" s="104">
        <v>208</v>
      </c>
      <c r="F44" s="104">
        <v>210</v>
      </c>
      <c r="G44" s="104">
        <v>221</v>
      </c>
      <c r="H44" s="104">
        <v>214</v>
      </c>
      <c r="I44" s="104">
        <v>219</v>
      </c>
      <c r="J44" s="104">
        <v>225</v>
      </c>
      <c r="K44" s="124">
        <v>198</v>
      </c>
      <c r="L44" s="124">
        <v>185</v>
      </c>
    </row>
    <row r="45" spans="1:17" x14ac:dyDescent="0.2">
      <c r="B45" s="178" t="s">
        <v>1283</v>
      </c>
      <c r="C45" s="104">
        <v>123</v>
      </c>
      <c r="D45" s="104">
        <v>128</v>
      </c>
      <c r="E45" s="104">
        <v>97</v>
      </c>
      <c r="F45" s="104">
        <v>92</v>
      </c>
      <c r="G45" s="104">
        <v>111</v>
      </c>
      <c r="H45" s="104">
        <v>93</v>
      </c>
      <c r="I45" s="104">
        <v>91</v>
      </c>
      <c r="J45" s="104">
        <v>106</v>
      </c>
      <c r="K45" s="124">
        <v>98</v>
      </c>
      <c r="L45" s="124">
        <v>117</v>
      </c>
    </row>
    <row r="46" spans="1:17" x14ac:dyDescent="0.2">
      <c r="B46" s="178" t="s">
        <v>275</v>
      </c>
      <c r="C46" s="104">
        <f>SUM(C44:C45)</f>
        <v>332</v>
      </c>
      <c r="D46" s="104">
        <f t="shared" ref="D46:L46" si="7">SUM(D44:D45)</f>
        <v>376</v>
      </c>
      <c r="E46" s="104">
        <f t="shared" si="7"/>
        <v>305</v>
      </c>
      <c r="F46" s="104">
        <f t="shared" si="7"/>
        <v>302</v>
      </c>
      <c r="G46" s="104">
        <f t="shared" si="7"/>
        <v>332</v>
      </c>
      <c r="H46" s="104">
        <f t="shared" si="7"/>
        <v>307</v>
      </c>
      <c r="I46" s="104">
        <f t="shared" si="7"/>
        <v>310</v>
      </c>
      <c r="J46" s="104">
        <f t="shared" si="7"/>
        <v>331</v>
      </c>
      <c r="K46" s="104">
        <f t="shared" si="7"/>
        <v>296</v>
      </c>
      <c r="L46" s="104">
        <f t="shared" si="7"/>
        <v>302</v>
      </c>
    </row>
    <row r="47" spans="1:17" x14ac:dyDescent="0.2">
      <c r="B47" s="670" t="str">
        <f>+"Differential "&amp;B44</f>
        <v>Differential Flotta aerea operativa per programma e modello - Di proprietà</v>
      </c>
      <c r="D47" s="104">
        <f t="shared" ref="D47:L47" si="8">+D44-C44</f>
        <v>39</v>
      </c>
      <c r="E47" s="104">
        <f t="shared" si="8"/>
        <v>-40</v>
      </c>
      <c r="F47" s="104">
        <f t="shared" si="8"/>
        <v>2</v>
      </c>
      <c r="G47" s="104">
        <f t="shared" si="8"/>
        <v>11</v>
      </c>
      <c r="H47" s="104">
        <f t="shared" si="8"/>
        <v>-7</v>
      </c>
      <c r="I47" s="104">
        <f t="shared" si="8"/>
        <v>5</v>
      </c>
      <c r="J47" s="104">
        <f t="shared" si="8"/>
        <v>6</v>
      </c>
      <c r="K47" s="104">
        <f t="shared" si="8"/>
        <v>-27</v>
      </c>
      <c r="L47" s="104">
        <f t="shared" si="8"/>
        <v>-13</v>
      </c>
    </row>
    <row r="48" spans="1:17" x14ac:dyDescent="0.2">
      <c r="B48" s="670" t="str">
        <f t="shared" ref="B48:B49" si="9">+"Differential "&amp;B45</f>
        <v>Differential Aircraft Operating Fleet - Operating Lease</v>
      </c>
      <c r="D48" s="104">
        <f t="shared" ref="D48:L48" si="10">+D45-C45</f>
        <v>5</v>
      </c>
      <c r="E48" s="104">
        <f t="shared" si="10"/>
        <v>-31</v>
      </c>
      <c r="F48" s="104">
        <f t="shared" si="10"/>
        <v>-5</v>
      </c>
      <c r="G48" s="104">
        <f t="shared" si="10"/>
        <v>19</v>
      </c>
      <c r="H48" s="104">
        <f t="shared" si="10"/>
        <v>-18</v>
      </c>
      <c r="I48" s="104">
        <f t="shared" si="10"/>
        <v>-2</v>
      </c>
      <c r="J48" s="104">
        <f t="shared" si="10"/>
        <v>15</v>
      </c>
      <c r="K48" s="104">
        <f t="shared" si="10"/>
        <v>-8</v>
      </c>
      <c r="L48" s="104">
        <f t="shared" si="10"/>
        <v>19</v>
      </c>
    </row>
    <row r="49" spans="2:27" x14ac:dyDescent="0.2">
      <c r="B49" s="670" t="str">
        <f t="shared" si="9"/>
        <v>Differential Total</v>
      </c>
      <c r="D49" s="104">
        <f t="shared" ref="D49:L49" si="11">+D46-C46</f>
        <v>44</v>
      </c>
      <c r="E49" s="104">
        <f t="shared" si="11"/>
        <v>-71</v>
      </c>
      <c r="F49" s="104">
        <f t="shared" si="11"/>
        <v>-3</v>
      </c>
      <c r="G49" s="104">
        <f t="shared" si="11"/>
        <v>30</v>
      </c>
      <c r="H49" s="104">
        <f t="shared" si="11"/>
        <v>-25</v>
      </c>
      <c r="I49" s="104">
        <f t="shared" si="11"/>
        <v>3</v>
      </c>
      <c r="J49" s="104">
        <f t="shared" si="11"/>
        <v>21</v>
      </c>
      <c r="K49" s="104">
        <f t="shared" si="11"/>
        <v>-35</v>
      </c>
      <c r="L49" s="104">
        <f t="shared" si="11"/>
        <v>6</v>
      </c>
    </row>
    <row r="52" spans="2:27" x14ac:dyDescent="0.2">
      <c r="C52" s="672" t="s">
        <v>1284</v>
      </c>
      <c r="D52" s="672" t="s">
        <v>1285</v>
      </c>
      <c r="E52" s="672" t="s">
        <v>275</v>
      </c>
      <c r="G52" s="668" t="s">
        <v>1284</v>
      </c>
      <c r="H52" s="668" t="s">
        <v>1285</v>
      </c>
      <c r="I52" s="668" t="s">
        <v>275</v>
      </c>
    </row>
    <row r="53" spans="2:27" x14ac:dyDescent="0.2">
      <c r="B53" s="104" t="s">
        <v>749</v>
      </c>
      <c r="C53" s="675">
        <f>+CORREL(C36:L36,$C$44:$L$44)</f>
        <v>0.10299837578801879</v>
      </c>
      <c r="D53" s="675">
        <f>+CORREL(C36:L36,$C$45:$L$45)</f>
        <v>-0.10076564048473062</v>
      </c>
      <c r="E53" s="675">
        <f>+CORREL(C36:L36,$C$46:$L$46)</f>
        <v>1.4874437283460062E-2</v>
      </c>
      <c r="G53" s="675">
        <f>+CORREL(D36:L36,$D$47:$L$47)</f>
        <v>-0.34801872434741277</v>
      </c>
      <c r="H53" s="675">
        <f>+CORREL(D36:L36,$D$48:$L$48)</f>
        <v>-0.57749767773589078</v>
      </c>
      <c r="I53" s="675">
        <f>+CORREL(D36:L36,$D$49:$L$49)</f>
        <v>-0.50193475591533931</v>
      </c>
    </row>
    <row r="54" spans="2:27" x14ac:dyDescent="0.2">
      <c r="B54" s="104" t="s">
        <v>750</v>
      </c>
      <c r="C54" s="675">
        <f>+CORREL(C37:L37,$C$44:$L$44)</f>
        <v>-0.28908764279252902</v>
      </c>
      <c r="D54" s="675">
        <f>+CORREL(C37:L37,$C$45:$L$45)</f>
        <v>-0.50641089231925851</v>
      </c>
      <c r="E54" s="675">
        <f>+CORREL(C37:L37,$C$46:$L$46)</f>
        <v>-0.48418166670239371</v>
      </c>
      <c r="G54" s="675">
        <f>+CORREL(D37:L37,$D$47:$L$47)</f>
        <v>-0.67252175809972803</v>
      </c>
      <c r="H54" s="675">
        <f>+CORREL(D37:L37,$D$48:$L$48)</f>
        <v>-0.33972617327914284</v>
      </c>
      <c r="I54" s="675">
        <f>+CORREL(D37:L37,$D$49:$L$49)</f>
        <v>-0.59624681497011223</v>
      </c>
      <c r="Q54" s="610"/>
      <c r="R54" s="610"/>
      <c r="S54" s="610"/>
      <c r="T54" s="610"/>
      <c r="U54" s="610"/>
      <c r="V54" s="610"/>
      <c r="W54" s="610"/>
      <c r="X54" s="610"/>
      <c r="Y54" s="610"/>
      <c r="Z54" s="610"/>
      <c r="AA54" s="610"/>
    </row>
    <row r="55" spans="2:27" x14ac:dyDescent="0.2">
      <c r="B55" s="104" t="s">
        <v>752</v>
      </c>
      <c r="C55" s="675">
        <f>+CORREL(C39:L39,$C$44:$L$44)</f>
        <v>0.12554517090862341</v>
      </c>
      <c r="D55" s="675">
        <f>+CORREL(C39:L39,$C$45:$L$45)</f>
        <v>0.24052361803503194</v>
      </c>
      <c r="E55" s="675">
        <f>+CORREL(C39:L39,$C$46:$L$46)</f>
        <v>0.22181835893910093</v>
      </c>
      <c r="G55" s="675">
        <f>+CORREL(D39:L39,$D$47:$L$47)</f>
        <v>0.62321595517516648</v>
      </c>
      <c r="H55" s="675">
        <f>+CORREL(D39:L39,$D$48:$L$48)</f>
        <v>0.64763916064228744</v>
      </c>
      <c r="I55" s="675">
        <f>+CORREL(D39:L39,$D$49:$L$49)</f>
        <v>0.7127617484329648</v>
      </c>
      <c r="R55" s="609"/>
      <c r="S55" s="609"/>
      <c r="T55" s="609"/>
      <c r="U55" s="609"/>
      <c r="V55" s="609"/>
      <c r="W55" s="609"/>
      <c r="X55" s="609"/>
      <c r="Y55" s="609"/>
      <c r="Z55" s="609"/>
      <c r="AA55" s="609"/>
    </row>
    <row r="56" spans="2:27" x14ac:dyDescent="0.2">
      <c r="B56" s="104" t="s">
        <v>739</v>
      </c>
      <c r="C56" s="675">
        <f>+CORREL(C41:L41,$C$44:$L$44)</f>
        <v>0.49856725763149867</v>
      </c>
      <c r="D56" s="675">
        <f>+CORREL(C41:L41,$C$45:$L$45)</f>
        <v>0.79028455108461904</v>
      </c>
      <c r="E56" s="675">
        <f>+CORREL(C41:L41,$C$46:$L$46)</f>
        <v>0.78845543412125529</v>
      </c>
      <c r="G56" s="675">
        <f>+CORREL(D41:L41,$D$47:$L$47)</f>
        <v>0.74294400784953363</v>
      </c>
      <c r="H56" s="675">
        <f>+CORREL(D41:L41,$D$48:$L$48)</f>
        <v>0.38278560980451715</v>
      </c>
      <c r="I56" s="675">
        <f>+CORREL(D41:L41,$D$49:$L$49)</f>
        <v>0.66228573224760867</v>
      </c>
    </row>
    <row r="57" spans="2:27" x14ac:dyDescent="0.2">
      <c r="B57" s="104"/>
      <c r="C57" s="675"/>
      <c r="D57" s="675"/>
      <c r="E57" s="675"/>
      <c r="G57" s="675"/>
      <c r="H57" s="675"/>
      <c r="I57" s="675"/>
    </row>
    <row r="63" spans="2:27" x14ac:dyDescent="0.2">
      <c r="Q63" s="659"/>
      <c r="R63" s="659"/>
      <c r="S63" s="659"/>
      <c r="T63" s="659"/>
      <c r="U63" s="659"/>
      <c r="V63" s="659"/>
      <c r="W63" s="659"/>
      <c r="X63" s="659"/>
      <c r="Y63" s="659"/>
      <c r="Z63" s="659"/>
      <c r="AA63" s="659"/>
    </row>
    <row r="64" spans="2:27" x14ac:dyDescent="0.2">
      <c r="Q64" s="659"/>
      <c r="R64" s="659"/>
      <c r="S64" s="659"/>
      <c r="T64" s="659"/>
      <c r="U64" s="659"/>
      <c r="V64" s="659"/>
      <c r="W64" s="659"/>
      <c r="X64" s="659"/>
      <c r="Y64" s="659"/>
      <c r="Z64" s="659"/>
      <c r="AA64" s="659"/>
    </row>
    <row r="65" spans="17:27" x14ac:dyDescent="0.2">
      <c r="Q65" s="659"/>
      <c r="R65" s="659"/>
      <c r="S65" s="659"/>
      <c r="T65" s="659"/>
      <c r="U65" s="659"/>
      <c r="V65" s="659"/>
      <c r="W65" s="659"/>
      <c r="X65" s="659"/>
      <c r="Y65" s="659"/>
      <c r="Z65" s="659"/>
      <c r="AA65" s="659"/>
    </row>
  </sheetData>
  <mergeCells count="1">
    <mergeCell ref="P11:Q11"/>
  </mergeCells>
  <pageMargins left="0.7" right="0.7" top="0.75" bottom="0.75" header="0.3" footer="0.3"/>
  <pageSetup paperSize="9" orientation="portrait" r:id="rId1"/>
  <ignoredErrors>
    <ignoredError sqref="G53:I53 H54:I54" formulaRange="1"/>
  </ignoredError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50E25-77EB-402F-B5C6-B2E961286497}">
  <sheetPr>
    <tabColor theme="7" tint="0.79998168889431442"/>
  </sheetPr>
  <dimension ref="A2:V54"/>
  <sheetViews>
    <sheetView zoomScale="59" workbookViewId="0"/>
  </sheetViews>
  <sheetFormatPr baseColWidth="10" defaultColWidth="10.83203125" defaultRowHeight="15" x14ac:dyDescent="0.2"/>
  <cols>
    <col min="1" max="1" width="14.83203125" style="622" customWidth="1"/>
    <col min="2" max="2" width="40" style="622" customWidth="1"/>
    <col min="3" max="3" width="17.6640625" style="622" customWidth="1"/>
    <col min="4" max="4" width="18.1640625" style="622" customWidth="1"/>
    <col min="5" max="7" width="8.6640625" style="622" bestFit="1" customWidth="1"/>
    <col min="8" max="8" width="29.6640625" style="622" customWidth="1"/>
    <col min="9" max="9" width="11.6640625" style="622" customWidth="1"/>
    <col min="10" max="11" width="8.6640625" style="622" bestFit="1" customWidth="1"/>
    <col min="12" max="12" width="29.33203125" style="622" customWidth="1"/>
    <col min="13" max="13" width="10.33203125" style="622" bestFit="1" customWidth="1"/>
    <col min="14" max="14" width="10.1640625" style="622" bestFit="1" customWidth="1"/>
    <col min="15" max="15" width="31.6640625" style="622" customWidth="1"/>
    <col min="16" max="16" width="11.6640625" style="622" customWidth="1"/>
    <col min="17" max="21" width="10.83203125" style="622"/>
    <col min="22" max="22" width="11" style="622" bestFit="1" customWidth="1"/>
    <col min="23" max="16384" width="10.83203125" style="622"/>
  </cols>
  <sheetData>
    <row r="2" spans="1:17" x14ac:dyDescent="0.2">
      <c r="A2" s="1211" t="s">
        <v>144</v>
      </c>
      <c r="B2" s="1211"/>
      <c r="C2" s="1211"/>
      <c r="D2" s="1211"/>
      <c r="F2" s="639"/>
      <c r="H2" s="1211" t="s">
        <v>145</v>
      </c>
      <c r="I2" s="1211"/>
      <c r="J2" s="1211"/>
      <c r="K2" s="1211"/>
      <c r="L2" s="1211"/>
      <c r="M2" s="1211"/>
      <c r="N2" s="1211"/>
      <c r="O2" s="1211"/>
      <c r="P2" s="1211"/>
    </row>
    <row r="3" spans="1:17" x14ac:dyDescent="0.2">
      <c r="A3" s="623" t="s">
        <v>146</v>
      </c>
      <c r="B3" s="623"/>
      <c r="C3" s="623" t="s">
        <v>147</v>
      </c>
      <c r="D3" s="623" t="s">
        <v>148</v>
      </c>
      <c r="H3" s="1212" t="s">
        <v>149</v>
      </c>
      <c r="I3" s="1212"/>
      <c r="L3" s="1212" t="s">
        <v>150</v>
      </c>
      <c r="M3" s="1212"/>
      <c r="O3" s="1213">
        <v>44926</v>
      </c>
      <c r="P3" s="1212"/>
    </row>
    <row r="4" spans="1:17" x14ac:dyDescent="0.2">
      <c r="B4" s="622" t="s">
        <v>151</v>
      </c>
      <c r="C4" s="627">
        <v>800000</v>
      </c>
    </row>
    <row r="5" spans="1:17" ht="16" x14ac:dyDescent="0.2">
      <c r="B5" s="622" t="s">
        <v>152</v>
      </c>
      <c r="C5" s="627">
        <v>1373000</v>
      </c>
      <c r="D5" s="627"/>
      <c r="H5" s="622" t="s">
        <v>153</v>
      </c>
      <c r="I5" s="627">
        <v>4406845</v>
      </c>
      <c r="L5" s="832" t="s">
        <v>154</v>
      </c>
      <c r="M5" s="833">
        <f>I5-P5</f>
        <v>429845</v>
      </c>
      <c r="O5" s="622" t="s">
        <v>155</v>
      </c>
      <c r="P5" s="6">
        <v>3977000</v>
      </c>
    </row>
    <row r="6" spans="1:17" x14ac:dyDescent="0.2">
      <c r="B6" s="622" t="s">
        <v>156</v>
      </c>
      <c r="C6" s="627">
        <v>3269000</v>
      </c>
      <c r="I6" s="627"/>
      <c r="M6" s="627"/>
    </row>
    <row r="7" spans="1:17" x14ac:dyDescent="0.2">
      <c r="B7" s="632" t="s">
        <v>157</v>
      </c>
      <c r="C7" s="634">
        <f>SUM(C4:C6)</f>
        <v>5442000</v>
      </c>
      <c r="D7" s="622" t="s">
        <v>158</v>
      </c>
      <c r="I7" s="627"/>
      <c r="M7" s="627"/>
      <c r="P7" s="627"/>
    </row>
    <row r="9" spans="1:17" x14ac:dyDescent="0.2">
      <c r="B9" s="622" t="s">
        <v>159</v>
      </c>
      <c r="C9" s="728">
        <v>1257000</v>
      </c>
      <c r="D9" s="627"/>
      <c r="H9" s="630" t="s">
        <v>160</v>
      </c>
      <c r="I9" s="627">
        <v>581731</v>
      </c>
      <c r="L9" s="622" t="s">
        <v>161</v>
      </c>
      <c r="M9" s="627">
        <v>298000</v>
      </c>
      <c r="O9" s="630" t="s">
        <v>162</v>
      </c>
      <c r="P9" s="627">
        <v>98000</v>
      </c>
    </row>
    <row r="10" spans="1:17" x14ac:dyDescent="0.2">
      <c r="B10" s="622" t="s">
        <v>163</v>
      </c>
      <c r="C10" s="728">
        <v>3594000</v>
      </c>
      <c r="L10" s="622" t="s">
        <v>164</v>
      </c>
      <c r="M10" s="728">
        <f>I9-P9-M9</f>
        <v>185731</v>
      </c>
    </row>
    <row r="11" spans="1:17" ht="16" thickBot="1" x14ac:dyDescent="0.25">
      <c r="B11" s="727" t="s">
        <v>165</v>
      </c>
      <c r="C11" s="782">
        <f>SUM(C9:C10)</f>
        <v>4851000</v>
      </c>
      <c r="D11" s="622" t="s">
        <v>166</v>
      </c>
      <c r="F11" s="627"/>
      <c r="L11" s="653" t="s">
        <v>167</v>
      </c>
      <c r="M11" s="634">
        <f>SUM(M9:M10)</f>
        <v>483731</v>
      </c>
      <c r="Q11" s="627"/>
    </row>
    <row r="12" spans="1:17" x14ac:dyDescent="0.2">
      <c r="B12" s="622" t="s">
        <v>168</v>
      </c>
      <c r="C12" s="627">
        <f>C7+C11</f>
        <v>10293000</v>
      </c>
      <c r="I12" s="627"/>
      <c r="Q12" s="627"/>
    </row>
    <row r="13" spans="1:17" x14ac:dyDescent="0.2">
      <c r="C13" s="627"/>
      <c r="F13" s="627"/>
      <c r="H13" s="641" t="s">
        <v>169</v>
      </c>
      <c r="I13" s="627">
        <v>4095256</v>
      </c>
      <c r="L13" s="622" t="s">
        <v>170</v>
      </c>
      <c r="M13" s="627">
        <v>2929000</v>
      </c>
      <c r="O13" s="641" t="s">
        <v>171</v>
      </c>
      <c r="P13" s="627">
        <f>I13-M16</f>
        <v>95256</v>
      </c>
    </row>
    <row r="14" spans="1:17" x14ac:dyDescent="0.2">
      <c r="C14" s="627"/>
      <c r="L14" s="622" t="s">
        <v>172</v>
      </c>
      <c r="M14" s="622">
        <v>600000</v>
      </c>
      <c r="Q14" s="627"/>
    </row>
    <row r="15" spans="1:17" x14ac:dyDescent="0.2">
      <c r="C15" s="627"/>
      <c r="L15" s="622" t="s">
        <v>173</v>
      </c>
      <c r="M15" s="825">
        <v>471000</v>
      </c>
    </row>
    <row r="16" spans="1:17" x14ac:dyDescent="0.2">
      <c r="B16" s="622" t="s">
        <v>174</v>
      </c>
      <c r="C16" s="627">
        <v>500000</v>
      </c>
      <c r="D16" s="622" t="s">
        <v>175</v>
      </c>
      <c r="I16" s="627"/>
      <c r="L16" s="654" t="s">
        <v>176</v>
      </c>
      <c r="M16" s="634">
        <f>SUM(M13:M15)</f>
        <v>4000000</v>
      </c>
    </row>
    <row r="17" spans="1:16" x14ac:dyDescent="0.2">
      <c r="B17" s="622" t="s">
        <v>177</v>
      </c>
      <c r="C17" s="627">
        <v>2250000</v>
      </c>
      <c r="I17" s="627"/>
      <c r="M17" s="627"/>
    </row>
    <row r="18" spans="1:16" x14ac:dyDescent="0.2">
      <c r="B18" s="632" t="s">
        <v>178</v>
      </c>
      <c r="C18" s="634">
        <f>SUM(C16:C17)</f>
        <v>2750000</v>
      </c>
      <c r="D18" s="622" t="s">
        <v>179</v>
      </c>
      <c r="L18" s="622" t="s">
        <v>180</v>
      </c>
      <c r="M18" s="627">
        <v>2250000</v>
      </c>
      <c r="O18" s="622" t="s">
        <v>177</v>
      </c>
      <c r="P18" s="627">
        <v>2250000</v>
      </c>
    </row>
    <row r="19" spans="1:16" x14ac:dyDescent="0.2">
      <c r="I19" s="627"/>
      <c r="L19" s="622" t="s">
        <v>181</v>
      </c>
      <c r="M19" s="627">
        <v>42000</v>
      </c>
      <c r="O19" s="622" t="s">
        <v>182</v>
      </c>
      <c r="P19" s="627">
        <v>42000</v>
      </c>
    </row>
    <row r="20" spans="1:16" x14ac:dyDescent="0.2">
      <c r="B20" s="622" t="s">
        <v>183</v>
      </c>
      <c r="C20" s="627">
        <v>131000</v>
      </c>
      <c r="I20" s="627"/>
      <c r="M20" s="627"/>
      <c r="P20" s="627"/>
    </row>
    <row r="21" spans="1:16" ht="16" thickBot="1" x14ac:dyDescent="0.25">
      <c r="B21" s="727" t="s">
        <v>184</v>
      </c>
      <c r="C21" s="782">
        <f>C20</f>
        <v>131000</v>
      </c>
      <c r="D21" s="622" t="s">
        <v>166</v>
      </c>
      <c r="I21" s="627"/>
      <c r="L21" s="654" t="s">
        <v>185</v>
      </c>
      <c r="M21" s="634">
        <f>SUM(M18:M20)</f>
        <v>2292000</v>
      </c>
      <c r="O21" s="654" t="s">
        <v>186</v>
      </c>
      <c r="P21" s="634">
        <f>SUM(P13:P20)</f>
        <v>2387256</v>
      </c>
    </row>
    <row r="22" spans="1:16" x14ac:dyDescent="0.2">
      <c r="B22" s="622" t="s">
        <v>187</v>
      </c>
      <c r="C22" s="627">
        <f>C21+C18</f>
        <v>2881000</v>
      </c>
      <c r="I22" s="627"/>
      <c r="M22" s="627"/>
    </row>
    <row r="24" spans="1:16" x14ac:dyDescent="0.2">
      <c r="H24" s="655" t="s">
        <v>188</v>
      </c>
      <c r="I24" s="627">
        <v>2335563</v>
      </c>
      <c r="L24" s="655" t="s">
        <v>189</v>
      </c>
      <c r="M24" s="627">
        <v>1519000</v>
      </c>
      <c r="O24" s="655" t="s">
        <v>190</v>
      </c>
      <c r="P24" s="627">
        <v>0</v>
      </c>
    </row>
    <row r="25" spans="1:16" x14ac:dyDescent="0.2">
      <c r="L25" s="622" t="s">
        <v>191</v>
      </c>
      <c r="M25" s="825">
        <f>816563</f>
        <v>816563</v>
      </c>
      <c r="P25" s="627"/>
    </row>
    <row r="26" spans="1:16" x14ac:dyDescent="0.2">
      <c r="A26" s="623" t="s">
        <v>192</v>
      </c>
      <c r="M26" s="627"/>
      <c r="P26" s="627"/>
    </row>
    <row r="27" spans="1:16" x14ac:dyDescent="0.2">
      <c r="B27" s="622" t="s">
        <v>151</v>
      </c>
      <c r="C27" s="627">
        <v>800000</v>
      </c>
      <c r="D27" s="622" t="s">
        <v>158</v>
      </c>
      <c r="H27" s="622" t="s">
        <v>193</v>
      </c>
      <c r="I27" s="627">
        <v>81259</v>
      </c>
      <c r="M27" s="627"/>
      <c r="O27" s="622" t="s">
        <v>193</v>
      </c>
      <c r="P27" s="627">
        <v>81259</v>
      </c>
    </row>
    <row r="28" spans="1:16" x14ac:dyDescent="0.2">
      <c r="B28" s="622" t="s">
        <v>152</v>
      </c>
      <c r="C28" s="627">
        <v>1373000</v>
      </c>
      <c r="D28" s="622" t="s">
        <v>158</v>
      </c>
      <c r="M28" s="627"/>
      <c r="O28" s="632" t="s">
        <v>194</v>
      </c>
      <c r="P28" s="634">
        <f>SUM(P27)</f>
        <v>81259</v>
      </c>
    </row>
    <row r="29" spans="1:16" x14ac:dyDescent="0.2">
      <c r="B29" s="622" t="s">
        <v>156</v>
      </c>
      <c r="C29" s="627">
        <v>3269000</v>
      </c>
      <c r="D29" s="622" t="s">
        <v>158</v>
      </c>
      <c r="M29" s="825"/>
    </row>
    <row r="30" spans="1:16" x14ac:dyDescent="0.2">
      <c r="B30" s="622" t="s">
        <v>177</v>
      </c>
      <c r="C30" s="627">
        <v>2250000</v>
      </c>
      <c r="D30" s="622" t="s">
        <v>195</v>
      </c>
      <c r="L30" s="832" t="s">
        <v>196</v>
      </c>
      <c r="M30" s="728">
        <f>M10+M25+M5</f>
        <v>1432139</v>
      </c>
      <c r="O30" s="622" t="s">
        <v>197</v>
      </c>
      <c r="P30" s="627">
        <f>SUM(P5,P9,P21,P24,P28)</f>
        <v>6543515</v>
      </c>
    </row>
    <row r="31" spans="1:16" x14ac:dyDescent="0.2">
      <c r="C31" s="627"/>
      <c r="M31" s="627"/>
    </row>
    <row r="32" spans="1:16" x14ac:dyDescent="0.2">
      <c r="A32" s="622" t="s">
        <v>198</v>
      </c>
      <c r="M32" s="832" t="s">
        <v>199</v>
      </c>
    </row>
    <row r="33" spans="1:22" x14ac:dyDescent="0.2">
      <c r="B33" s="622" t="s">
        <v>200</v>
      </c>
      <c r="C33" s="627">
        <v>989000</v>
      </c>
      <c r="H33" s="1211" t="s">
        <v>201</v>
      </c>
      <c r="I33" s="1211"/>
      <c r="J33" s="1211"/>
      <c r="K33" s="1211"/>
      <c r="L33" s="1211"/>
      <c r="M33" s="1211"/>
      <c r="N33" s="1211"/>
      <c r="O33" s="1211"/>
      <c r="P33" s="1211"/>
    </row>
    <row r="34" spans="1:22" x14ac:dyDescent="0.2">
      <c r="B34" s="632" t="s">
        <v>202</v>
      </c>
      <c r="C34" s="634">
        <f>SUM(C27:C33)</f>
        <v>8681000</v>
      </c>
      <c r="H34" s="1212" t="s">
        <v>149</v>
      </c>
      <c r="I34" s="1212"/>
      <c r="L34" s="1212" t="s">
        <v>150</v>
      </c>
      <c r="M34" s="1212"/>
      <c r="O34" s="1213">
        <v>44926</v>
      </c>
      <c r="P34" s="1212"/>
    </row>
    <row r="35" spans="1:22" x14ac:dyDescent="0.2">
      <c r="V35" s="622" t="s">
        <v>203</v>
      </c>
    </row>
    <row r="36" spans="1:22" ht="16" x14ac:dyDescent="0.2">
      <c r="A36" s="623" t="s">
        <v>204</v>
      </c>
      <c r="H36" s="622" t="s">
        <v>205</v>
      </c>
      <c r="I36" s="627">
        <v>10193628</v>
      </c>
      <c r="L36" s="834" t="s">
        <v>206</v>
      </c>
      <c r="M36" s="627">
        <f>C11-M30</f>
        <v>3418861</v>
      </c>
      <c r="N36" s="627"/>
      <c r="O36" s="622" t="s">
        <v>205</v>
      </c>
      <c r="P36" s="627">
        <f>I36-M39</f>
        <v>5631767</v>
      </c>
      <c r="Q36" s="627"/>
      <c r="V36" s="6">
        <v>538784</v>
      </c>
    </row>
    <row r="37" spans="1:22" x14ac:dyDescent="0.2">
      <c r="B37" s="622" t="s">
        <v>207</v>
      </c>
      <c r="C37" s="627">
        <v>2929000</v>
      </c>
      <c r="D37" s="622" t="s">
        <v>208</v>
      </c>
      <c r="L37" s="622" t="s">
        <v>209</v>
      </c>
      <c r="M37" s="627">
        <v>42000</v>
      </c>
      <c r="P37" s="627"/>
    </row>
    <row r="38" spans="1:22" x14ac:dyDescent="0.2">
      <c r="B38" s="622" t="s">
        <v>210</v>
      </c>
      <c r="C38" s="627">
        <v>1101000</v>
      </c>
      <c r="D38" s="622" t="s">
        <v>211</v>
      </c>
      <c r="H38" s="631" t="s">
        <v>212</v>
      </c>
      <c r="I38" s="627">
        <f>9977.185*1000</f>
        <v>9977185</v>
      </c>
      <c r="L38" s="622" t="s">
        <v>213</v>
      </c>
      <c r="M38" s="627">
        <f>C38</f>
        <v>1101000</v>
      </c>
    </row>
    <row r="39" spans="1:22" x14ac:dyDescent="0.2">
      <c r="B39" s="622" t="s">
        <v>214</v>
      </c>
      <c r="C39" s="622">
        <v>600000</v>
      </c>
      <c r="D39" s="622" t="s">
        <v>215</v>
      </c>
      <c r="L39" s="632" t="s">
        <v>216</v>
      </c>
      <c r="M39" s="783">
        <f>SUM(M36:M38)</f>
        <v>4561861</v>
      </c>
      <c r="N39" s="627"/>
    </row>
    <row r="40" spans="1:22" x14ac:dyDescent="0.2">
      <c r="B40" s="622" t="s">
        <v>189</v>
      </c>
      <c r="C40" s="627">
        <v>1519000</v>
      </c>
      <c r="D40" s="622" t="s">
        <v>217</v>
      </c>
    </row>
    <row r="41" spans="1:22" x14ac:dyDescent="0.2">
      <c r="B41" s="622" t="s">
        <v>218</v>
      </c>
      <c r="C41" s="627">
        <v>298000</v>
      </c>
      <c r="D41" s="622" t="s">
        <v>219</v>
      </c>
      <c r="H41" s="1211" t="s">
        <v>220</v>
      </c>
      <c r="I41" s="1211"/>
      <c r="J41" s="1211"/>
      <c r="K41" s="1211"/>
      <c r="L41" s="1211"/>
      <c r="M41" s="1211"/>
      <c r="N41" s="1211"/>
      <c r="O41" s="1211"/>
      <c r="P41" s="1211"/>
    </row>
    <row r="42" spans="1:22" x14ac:dyDescent="0.2">
      <c r="B42" s="622" t="s">
        <v>221</v>
      </c>
      <c r="C42" s="627">
        <v>471000</v>
      </c>
      <c r="D42" s="622" t="s">
        <v>215</v>
      </c>
      <c r="H42" s="1212" t="s">
        <v>149</v>
      </c>
      <c r="I42" s="1212"/>
      <c r="L42" s="1212" t="s">
        <v>150</v>
      </c>
      <c r="M42" s="1212"/>
      <c r="O42" s="1213">
        <v>44926</v>
      </c>
      <c r="P42" s="1212"/>
    </row>
    <row r="43" spans="1:22" x14ac:dyDescent="0.2">
      <c r="B43" s="622" t="s">
        <v>222</v>
      </c>
      <c r="C43" s="627">
        <f>C34-SUM(C37:C42)</f>
        <v>1763000</v>
      </c>
      <c r="H43" s="625"/>
      <c r="I43" s="625"/>
      <c r="L43" s="625"/>
      <c r="M43" s="625"/>
      <c r="O43" s="656"/>
      <c r="P43" s="625"/>
    </row>
    <row r="44" spans="1:22" x14ac:dyDescent="0.2">
      <c r="B44" s="632" t="s">
        <v>223</v>
      </c>
      <c r="C44" s="634">
        <f>SUM(C37:C43)</f>
        <v>8681000</v>
      </c>
      <c r="H44" s="657" t="s">
        <v>224</v>
      </c>
      <c r="I44" s="627">
        <v>-8263375</v>
      </c>
      <c r="L44" s="622" t="s">
        <v>168</v>
      </c>
      <c r="M44" s="627">
        <f>C12</f>
        <v>10293000</v>
      </c>
      <c r="O44" s="657" t="s">
        <v>224</v>
      </c>
      <c r="P44" s="627">
        <f>I44+M44</f>
        <v>2029625</v>
      </c>
    </row>
    <row r="46" spans="1:22" x14ac:dyDescent="0.2">
      <c r="H46" s="1211" t="s">
        <v>225</v>
      </c>
      <c r="I46" s="1211"/>
      <c r="J46" s="1211"/>
      <c r="K46" s="1211"/>
      <c r="L46" s="1211"/>
      <c r="M46" s="1211"/>
      <c r="N46" s="1211"/>
      <c r="O46" s="1211"/>
      <c r="P46" s="1211"/>
    </row>
    <row r="47" spans="1:22" x14ac:dyDescent="0.2">
      <c r="B47" s="622" t="s">
        <v>226</v>
      </c>
      <c r="C47" s="825">
        <v>118000</v>
      </c>
      <c r="H47" s="1212" t="s">
        <v>149</v>
      </c>
      <c r="I47" s="1212"/>
      <c r="L47" s="1212" t="s">
        <v>150</v>
      </c>
      <c r="M47" s="1212"/>
      <c r="O47" s="1213">
        <v>44926</v>
      </c>
      <c r="P47" s="1212"/>
    </row>
    <row r="48" spans="1:22" x14ac:dyDescent="0.2">
      <c r="B48" s="622" t="s">
        <v>227</v>
      </c>
      <c r="C48" s="825">
        <v>743000</v>
      </c>
    </row>
    <row r="49" spans="2:16" x14ac:dyDescent="0.2">
      <c r="B49" s="622" t="s">
        <v>228</v>
      </c>
      <c r="C49" s="825">
        <v>240000</v>
      </c>
      <c r="H49" s="622" t="s">
        <v>229</v>
      </c>
      <c r="I49" s="627">
        <v>897183</v>
      </c>
      <c r="L49" s="622" t="s">
        <v>230</v>
      </c>
      <c r="M49" s="627">
        <f>M44-M5-M11-M16+M21-M24-M39</f>
        <v>1590563</v>
      </c>
      <c r="O49" s="622" t="s">
        <v>231</v>
      </c>
      <c r="P49" s="627">
        <f>I49+M49</f>
        <v>2487746</v>
      </c>
    </row>
    <row r="50" spans="2:16" x14ac:dyDescent="0.2">
      <c r="B50" s="622" t="s">
        <v>232</v>
      </c>
      <c r="C50" s="825">
        <f>(SUM(C47:C49))</f>
        <v>1101000</v>
      </c>
    </row>
    <row r="51" spans="2:16" x14ac:dyDescent="0.2">
      <c r="C51" s="627"/>
    </row>
    <row r="52" spans="2:16" x14ac:dyDescent="0.2">
      <c r="C52" s="627"/>
    </row>
    <row r="53" spans="2:16" x14ac:dyDescent="0.2">
      <c r="C53" s="627"/>
    </row>
    <row r="54" spans="2:16" x14ac:dyDescent="0.2">
      <c r="C54" s="627"/>
    </row>
  </sheetData>
  <mergeCells count="17">
    <mergeCell ref="H33:P33"/>
    <mergeCell ref="A2:D2"/>
    <mergeCell ref="H2:P2"/>
    <mergeCell ref="H3:I3"/>
    <mergeCell ref="L3:M3"/>
    <mergeCell ref="O3:P3"/>
    <mergeCell ref="H46:P46"/>
    <mergeCell ref="H47:I47"/>
    <mergeCell ref="L47:M47"/>
    <mergeCell ref="O47:P47"/>
    <mergeCell ref="H34:I34"/>
    <mergeCell ref="L34:M34"/>
    <mergeCell ref="O34:P34"/>
    <mergeCell ref="H41:P41"/>
    <mergeCell ref="H42:I42"/>
    <mergeCell ref="L42:M42"/>
    <mergeCell ref="O42:P42"/>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DAFE2-D465-4DD9-A981-0698B94DD24C}">
  <sheetPr>
    <tabColor theme="7" tint="0.79998168889431442"/>
  </sheetPr>
  <dimension ref="A1:AC160"/>
  <sheetViews>
    <sheetView zoomScale="75" workbookViewId="0">
      <selection sqref="A1:B1"/>
    </sheetView>
  </sheetViews>
  <sheetFormatPr baseColWidth="10" defaultColWidth="10.83203125" defaultRowHeight="15" x14ac:dyDescent="0.2"/>
  <cols>
    <col min="1" max="1" width="10.83203125" style="622"/>
    <col min="2" max="2" width="33.33203125" style="622" customWidth="1"/>
    <col min="3" max="3" width="7.33203125" style="622" customWidth="1"/>
    <col min="4" max="4" width="15.1640625" style="622" customWidth="1"/>
    <col min="5" max="5" width="12" style="622" bestFit="1" customWidth="1"/>
    <col min="6" max="6" width="8.33203125" style="622" customWidth="1"/>
    <col min="7" max="7" width="13.5" style="622" customWidth="1"/>
    <col min="8" max="8" width="12.1640625" style="622" bestFit="1" customWidth="1"/>
    <col min="9" max="9" width="12" style="622" bestFit="1" customWidth="1"/>
    <col min="10" max="10" width="9.1640625" style="622" bestFit="1" customWidth="1"/>
    <col min="11" max="11" width="12" style="622" bestFit="1" customWidth="1"/>
    <col min="12" max="12" width="12.83203125" style="622" customWidth="1"/>
    <col min="13" max="13" width="13" style="622" customWidth="1"/>
    <col min="14" max="14" width="15.33203125" style="622" bestFit="1" customWidth="1"/>
    <col min="15" max="15" width="10.33203125" style="622" bestFit="1" customWidth="1"/>
    <col min="16" max="16" width="17.33203125" style="622" customWidth="1"/>
    <col min="17" max="18" width="16.33203125" style="622" bestFit="1" customWidth="1"/>
    <col min="19" max="19" width="15" style="622" bestFit="1" customWidth="1"/>
    <col min="20" max="21" width="16.33203125" style="622" bestFit="1" customWidth="1"/>
    <col min="22" max="16384" width="10.83203125" style="622"/>
  </cols>
  <sheetData>
    <row r="1" spans="1:23" s="623" customFormat="1" x14ac:dyDescent="0.2">
      <c r="A1" s="1212" t="s">
        <v>233</v>
      </c>
      <c r="B1" s="1212"/>
    </row>
    <row r="2" spans="1:23" s="623" customFormat="1" x14ac:dyDescent="0.2">
      <c r="A2" s="625"/>
      <c r="B2" s="625"/>
      <c r="C2" s="623" t="s">
        <v>234</v>
      </c>
      <c r="D2" s="625"/>
      <c r="E2" s="623">
        <v>2018</v>
      </c>
      <c r="G2" s="623">
        <v>2019</v>
      </c>
      <c r="I2" s="623">
        <v>2020</v>
      </c>
      <c r="K2" s="623">
        <v>2021</v>
      </c>
      <c r="M2" s="625" t="s">
        <v>149</v>
      </c>
      <c r="N2" s="625"/>
      <c r="P2" s="623">
        <v>2022</v>
      </c>
      <c r="Q2" s="623">
        <v>2023</v>
      </c>
      <c r="R2" s="623">
        <v>2024</v>
      </c>
      <c r="S2" s="623">
        <v>2025</v>
      </c>
      <c r="T2" s="623">
        <v>2026</v>
      </c>
      <c r="U2" s="623">
        <v>2027</v>
      </c>
    </row>
    <row r="3" spans="1:23" x14ac:dyDescent="0.2">
      <c r="A3" s="1212" t="s">
        <v>235</v>
      </c>
      <c r="B3" s="1212"/>
    </row>
    <row r="4" spans="1:23" x14ac:dyDescent="0.2">
      <c r="A4" s="625"/>
      <c r="B4" s="835" t="s">
        <v>236</v>
      </c>
      <c r="K4" s="626"/>
      <c r="M4" s="627"/>
      <c r="P4" s="626"/>
    </row>
    <row r="5" spans="1:23" x14ac:dyDescent="0.2">
      <c r="B5" s="622" t="s">
        <v>237</v>
      </c>
      <c r="C5" s="622" t="s">
        <v>238</v>
      </c>
      <c r="P5" s="836">
        <v>50000</v>
      </c>
      <c r="Q5" s="836">
        <v>50000</v>
      </c>
      <c r="R5" s="836">
        <v>50000</v>
      </c>
      <c r="S5" s="836">
        <v>50000</v>
      </c>
      <c r="T5" s="836">
        <v>50000</v>
      </c>
      <c r="U5" s="836">
        <v>50000</v>
      </c>
      <c r="W5" s="630" t="s">
        <v>239</v>
      </c>
    </row>
    <row r="6" spans="1:23" x14ac:dyDescent="0.2">
      <c r="B6" s="622" t="s">
        <v>240</v>
      </c>
      <c r="C6" s="623"/>
      <c r="D6" s="635">
        <v>0.27</v>
      </c>
      <c r="P6" s="796">
        <f t="shared" ref="P6:U6" si="0">-P43</f>
        <v>-769659.25162500003</v>
      </c>
      <c r="Q6" s="796" t="e">
        <f t="shared" si="0"/>
        <v>#REF!</v>
      </c>
      <c r="R6" s="796" t="e">
        <f t="shared" si="0"/>
        <v>#REF!</v>
      </c>
      <c r="S6" s="796" t="e">
        <f t="shared" si="0"/>
        <v>#REF!</v>
      </c>
      <c r="T6" s="796" t="e">
        <f t="shared" si="0"/>
        <v>#REF!</v>
      </c>
      <c r="U6" s="796" t="e">
        <f t="shared" si="0"/>
        <v>#REF!</v>
      </c>
    </row>
    <row r="7" spans="1:23" x14ac:dyDescent="0.2">
      <c r="B7" s="832" t="s">
        <v>241</v>
      </c>
      <c r="C7" s="623"/>
      <c r="D7" s="635"/>
      <c r="P7" s="796">
        <f>-$D$6*P6</f>
        <v>207807.99793875002</v>
      </c>
      <c r="Q7" s="796" t="e">
        <f t="shared" ref="Q7:U7" si="1">-$D$6*Q6</f>
        <v>#REF!</v>
      </c>
      <c r="R7" s="796" t="e">
        <f t="shared" si="1"/>
        <v>#REF!</v>
      </c>
      <c r="S7" s="796" t="e">
        <f t="shared" si="1"/>
        <v>#REF!</v>
      </c>
      <c r="T7" s="796" t="e">
        <f t="shared" si="1"/>
        <v>#REF!</v>
      </c>
      <c r="U7" s="796" t="e">
        <f t="shared" si="1"/>
        <v>#REF!</v>
      </c>
    </row>
    <row r="8" spans="1:23" x14ac:dyDescent="0.2">
      <c r="B8" s="632" t="s">
        <v>242</v>
      </c>
      <c r="C8" s="623"/>
      <c r="E8" s="626">
        <v>864267.9999999993</v>
      </c>
      <c r="F8" s="626"/>
      <c r="G8" s="626">
        <v>2445447.0000000009</v>
      </c>
      <c r="H8" s="626"/>
      <c r="I8" s="626">
        <v>-3903883.0000000009</v>
      </c>
      <c r="J8" s="626"/>
      <c r="K8" s="626">
        <v>-386654.99999999884</v>
      </c>
      <c r="L8" s="627"/>
      <c r="P8" s="633">
        <f>SUM(P5:P7)</f>
        <v>-511851.25368625001</v>
      </c>
      <c r="Q8" s="633" t="e">
        <f t="shared" ref="Q8:U8" si="2">SUM(Q5:Q7)</f>
        <v>#REF!</v>
      </c>
      <c r="R8" s="633" t="e">
        <f t="shared" si="2"/>
        <v>#REF!</v>
      </c>
      <c r="S8" s="633" t="e">
        <f t="shared" si="2"/>
        <v>#REF!</v>
      </c>
      <c r="T8" s="633" t="e">
        <f t="shared" si="2"/>
        <v>#REF!</v>
      </c>
      <c r="U8" s="633" t="e">
        <f t="shared" si="2"/>
        <v>#REF!</v>
      </c>
    </row>
    <row r="9" spans="1:23" x14ac:dyDescent="0.2">
      <c r="B9" s="622" t="s">
        <v>243</v>
      </c>
      <c r="C9" s="623"/>
      <c r="G9" s="626">
        <f>G30-E30</f>
        <v>-264826</v>
      </c>
      <c r="I9" s="627">
        <f>I30-G30</f>
        <v>707031</v>
      </c>
      <c r="K9" s="627">
        <f>K30-I30</f>
        <v>-457378</v>
      </c>
      <c r="L9" s="627"/>
      <c r="P9" s="626">
        <f t="shared" ref="P9" si="3">P32</f>
        <v>-3696928</v>
      </c>
      <c r="Q9" s="626" t="e">
        <f>Q32</f>
        <v>#REF!</v>
      </c>
      <c r="R9" s="626" t="e">
        <f>R32</f>
        <v>#REF!</v>
      </c>
      <c r="S9" s="626" t="e">
        <f>S32</f>
        <v>#REF!</v>
      </c>
      <c r="T9" s="626" t="e">
        <f>T32</f>
        <v>#REF!</v>
      </c>
      <c r="U9" s="626" t="e">
        <f>U32</f>
        <v>#REF!</v>
      </c>
    </row>
    <row r="10" spans="1:23" x14ac:dyDescent="0.2">
      <c r="B10" s="622" t="s">
        <v>244</v>
      </c>
      <c r="C10" s="622" t="s">
        <v>245</v>
      </c>
      <c r="E10" s="626">
        <v>-54580.442999999999</v>
      </c>
      <c r="F10" s="626"/>
      <c r="G10" s="626">
        <v>-57129</v>
      </c>
      <c r="I10" s="622">
        <v>0</v>
      </c>
      <c r="K10" s="622">
        <v>0</v>
      </c>
      <c r="P10" s="1093">
        <f>D46-Cap_Inc!M39</f>
        <v>5731408.5240000002</v>
      </c>
      <c r="Q10" s="626">
        <f>(Q46-P46)-Q68</f>
        <v>0</v>
      </c>
      <c r="R10" s="626">
        <f>(R46-Q46)-R68</f>
        <v>0</v>
      </c>
      <c r="S10" s="626">
        <f>(S46-R46)-S68</f>
        <v>0</v>
      </c>
      <c r="T10" s="626">
        <f>(T46-S46)-T68</f>
        <v>0</v>
      </c>
      <c r="U10" s="626">
        <f>(U46-T46)-U68</f>
        <v>0</v>
      </c>
    </row>
    <row r="11" spans="1:23" x14ac:dyDescent="0.2">
      <c r="B11" s="632" t="s">
        <v>246</v>
      </c>
      <c r="C11" s="623"/>
      <c r="E11" s="632"/>
      <c r="G11" s="634">
        <f>SUM(G8:G10)</f>
        <v>2123492.0000000009</v>
      </c>
      <c r="I11" s="634">
        <f>SUM(I8:I10)</f>
        <v>-3196852.0000000009</v>
      </c>
      <c r="J11" s="627"/>
      <c r="K11" s="634">
        <f>SUM(K8:K10)</f>
        <v>-844032.99999999884</v>
      </c>
      <c r="L11" s="627"/>
      <c r="N11" s="622">
        <f>IF(O19-P75&gt;0,O19-P75,0)</f>
        <v>1042015.97968625</v>
      </c>
      <c r="P11" s="633">
        <f t="shared" ref="P11:U11" si="4">SUM(P8:P10)</f>
        <v>1522629.27031375</v>
      </c>
      <c r="Q11" s="633" t="e">
        <f t="shared" si="4"/>
        <v>#REF!</v>
      </c>
      <c r="R11" s="633" t="e">
        <f t="shared" si="4"/>
        <v>#REF!</v>
      </c>
      <c r="S11" s="633" t="e">
        <f t="shared" si="4"/>
        <v>#REF!</v>
      </c>
      <c r="T11" s="633" t="e">
        <f t="shared" si="4"/>
        <v>#REF!</v>
      </c>
      <c r="U11" s="633" t="e">
        <f t="shared" si="4"/>
        <v>#REF!</v>
      </c>
    </row>
    <row r="12" spans="1:23" x14ac:dyDescent="0.2">
      <c r="C12" s="623"/>
    </row>
    <row r="13" spans="1:23" x14ac:dyDescent="0.2">
      <c r="C13" s="623"/>
    </row>
    <row r="14" spans="1:23" x14ac:dyDescent="0.2">
      <c r="A14" s="1212" t="s">
        <v>247</v>
      </c>
      <c r="B14" s="1212"/>
      <c r="E14" s="627"/>
      <c r="F14" s="627"/>
      <c r="G14" s="627"/>
      <c r="H14" s="627"/>
      <c r="I14" s="627"/>
      <c r="J14" s="627"/>
      <c r="K14" s="627"/>
      <c r="L14" s="627"/>
      <c r="M14" s="627"/>
      <c r="N14" s="627"/>
      <c r="O14" s="627"/>
    </row>
    <row r="15" spans="1:23" x14ac:dyDescent="0.2">
      <c r="B15" s="622" t="s">
        <v>248</v>
      </c>
      <c r="C15" s="627" t="s">
        <v>249</v>
      </c>
      <c r="D15" s="635"/>
      <c r="E15" s="627">
        <v>400721</v>
      </c>
      <c r="F15" s="627"/>
      <c r="G15" s="627">
        <v>341475</v>
      </c>
      <c r="H15" s="627"/>
      <c r="I15" s="627">
        <v>151701</v>
      </c>
      <c r="J15" s="627"/>
      <c r="K15" s="627">
        <v>159161</v>
      </c>
      <c r="L15" s="627"/>
      <c r="M15" s="627">
        <v>161447</v>
      </c>
      <c r="N15" s="627"/>
      <c r="O15" s="627"/>
      <c r="P15" s="627">
        <f>M15</f>
        <v>161447</v>
      </c>
      <c r="Q15" s="627" t="e">
        <f>P15*(1+Q16)</f>
        <v>#REF!</v>
      </c>
      <c r="R15" s="627" t="e">
        <f>Q15*(1+R16)</f>
        <v>#REF!</v>
      </c>
      <c r="S15" s="627" t="e">
        <f>R15*(1+S16)</f>
        <v>#REF!</v>
      </c>
      <c r="T15" s="627" t="e">
        <f>S15*(1+T16)</f>
        <v>#REF!</v>
      </c>
      <c r="U15" s="627" t="e">
        <f>T15*(1+U16)</f>
        <v>#REF!</v>
      </c>
    </row>
    <row r="16" spans="1:23" s="624" customFormat="1" x14ac:dyDescent="0.2">
      <c r="B16" s="624" t="s">
        <v>250</v>
      </c>
      <c r="C16" s="636"/>
      <c r="E16" s="636"/>
      <c r="F16" s="636"/>
      <c r="G16" s="636"/>
      <c r="H16" s="636"/>
      <c r="I16" s="636"/>
      <c r="J16" s="636"/>
      <c r="K16" s="636"/>
      <c r="L16" s="636"/>
      <c r="M16" s="636"/>
      <c r="N16" s="636"/>
      <c r="O16" s="636"/>
      <c r="Q16" s="637" t="e">
        <f>H93</f>
        <v>#REF!</v>
      </c>
      <c r="R16" s="637" t="e">
        <f>I93</f>
        <v>#REF!</v>
      </c>
      <c r="S16" s="637" t="e">
        <f>J93</f>
        <v>#REF!</v>
      </c>
      <c r="T16" s="637" t="e">
        <f>K93</f>
        <v>#REF!</v>
      </c>
      <c r="U16" s="637" t="e">
        <f>L93</f>
        <v>#REF!</v>
      </c>
    </row>
    <row r="17" spans="2:28" x14ac:dyDescent="0.2">
      <c r="B17" s="622" t="s">
        <v>219</v>
      </c>
      <c r="C17" s="627" t="s">
        <v>251</v>
      </c>
      <c r="D17" s="635"/>
      <c r="E17" s="627">
        <v>222741</v>
      </c>
      <c r="F17" s="627"/>
      <c r="G17" s="627">
        <v>217255</v>
      </c>
      <c r="H17" s="627"/>
      <c r="I17" s="627">
        <v>525273</v>
      </c>
      <c r="J17" s="627"/>
      <c r="K17" s="627">
        <v>521838</v>
      </c>
      <c r="L17" s="627"/>
      <c r="M17" s="636">
        <v>581731</v>
      </c>
      <c r="N17" s="1088"/>
      <c r="O17" s="1088">
        <f>Cap_Inc!P9</f>
        <v>98000</v>
      </c>
      <c r="P17" s="1088">
        <f t="shared" ref="P17" si="5">$O$17</f>
        <v>98000</v>
      </c>
      <c r="Q17" s="1088">
        <f>$O$17</f>
        <v>98000</v>
      </c>
      <c r="R17" s="1088">
        <f>$O$17</f>
        <v>98000</v>
      </c>
      <c r="S17" s="1088">
        <f>$O$17</f>
        <v>98000</v>
      </c>
      <c r="T17" s="1088">
        <f>$O$17</f>
        <v>98000</v>
      </c>
      <c r="U17" s="1088">
        <f>$O$17</f>
        <v>98000</v>
      </c>
    </row>
    <row r="18" spans="2:28" s="624" customFormat="1" x14ac:dyDescent="0.2">
      <c r="B18" s="624" t="s">
        <v>252</v>
      </c>
      <c r="C18" s="636"/>
      <c r="E18" s="636"/>
      <c r="F18" s="636"/>
      <c r="G18" s="636"/>
      <c r="H18" s="636"/>
      <c r="I18" s="636"/>
      <c r="J18" s="636"/>
      <c r="K18" s="636"/>
      <c r="L18" s="636"/>
      <c r="M18" s="636"/>
      <c r="N18" s="1089"/>
      <c r="O18" s="1089"/>
      <c r="P18" s="1090"/>
      <c r="Q18" s="1091">
        <v>0</v>
      </c>
      <c r="R18" s="1091">
        <v>0</v>
      </c>
      <c r="S18" s="1091">
        <v>0</v>
      </c>
      <c r="T18" s="1091">
        <v>0</v>
      </c>
      <c r="U18" s="1091">
        <v>0</v>
      </c>
    </row>
    <row r="19" spans="2:28" x14ac:dyDescent="0.2">
      <c r="B19" s="622" t="s">
        <v>253</v>
      </c>
      <c r="C19" s="627" t="s">
        <v>254</v>
      </c>
      <c r="E19" s="627">
        <v>3207473</v>
      </c>
      <c r="F19" s="627"/>
      <c r="G19" s="627">
        <v>2737759</v>
      </c>
      <c r="H19" s="627"/>
      <c r="I19" s="627">
        <v>3257972</v>
      </c>
      <c r="J19" s="627"/>
      <c r="K19" s="627">
        <v>3235957</v>
      </c>
      <c r="L19" s="627"/>
      <c r="M19" s="636">
        <v>4095256</v>
      </c>
      <c r="N19" s="1088"/>
      <c r="O19" s="1092">
        <f>Cap_Inc!$P$21</f>
        <v>2387256</v>
      </c>
      <c r="P19" s="1092">
        <f>Cap_Inc!$P$21</f>
        <v>2387256</v>
      </c>
      <c r="Q19" s="1092">
        <f>Cap_Inc!$P$21</f>
        <v>2387256</v>
      </c>
      <c r="R19" s="1092">
        <f>Cap_Inc!$P$21</f>
        <v>2387256</v>
      </c>
      <c r="S19" s="1092">
        <f>Cap_Inc!$P$21</f>
        <v>2387256</v>
      </c>
      <c r="T19" s="1092">
        <f>Cap_Inc!$P$21</f>
        <v>2387256</v>
      </c>
      <c r="U19" s="1092">
        <f>Cap_Inc!$P$21</f>
        <v>2387256</v>
      </c>
      <c r="V19" s="825"/>
    </row>
    <row r="20" spans="2:28" s="624" customFormat="1" x14ac:dyDescent="0.2">
      <c r="B20" s="624" t="s">
        <v>128</v>
      </c>
      <c r="C20" s="627"/>
      <c r="E20" s="636"/>
      <c r="F20" s="636"/>
      <c r="G20" s="636"/>
      <c r="H20" s="636"/>
      <c r="I20" s="636"/>
      <c r="J20" s="636"/>
      <c r="K20" s="636"/>
      <c r="L20" s="636"/>
      <c r="M20" s="636"/>
      <c r="N20" s="636"/>
      <c r="O20" s="636"/>
      <c r="Q20" s="637">
        <f>Q19/P19-1</f>
        <v>0</v>
      </c>
      <c r="R20" s="637">
        <f>R19/Q19-1</f>
        <v>0</v>
      </c>
      <c r="S20" s="637">
        <f>S19/R19-1</f>
        <v>0</v>
      </c>
      <c r="T20" s="637">
        <f>T19/S19-1</f>
        <v>0</v>
      </c>
      <c r="U20" s="637">
        <f>U19/T19-1</f>
        <v>0</v>
      </c>
    </row>
    <row r="21" spans="2:28" x14ac:dyDescent="0.2">
      <c r="B21" s="632" t="s">
        <v>255</v>
      </c>
      <c r="C21" s="627"/>
      <c r="E21" s="634">
        <v>3830935</v>
      </c>
      <c r="F21" s="627"/>
      <c r="G21" s="634">
        <v>3296489</v>
      </c>
      <c r="H21" s="627"/>
      <c r="I21" s="634">
        <v>3934946</v>
      </c>
      <c r="J21" s="627"/>
      <c r="K21" s="634">
        <v>3916956</v>
      </c>
      <c r="L21" s="627"/>
      <c r="M21" s="636">
        <v>4838434</v>
      </c>
      <c r="N21" s="627"/>
      <c r="O21" s="627"/>
      <c r="P21" s="634">
        <f>SUM(P15:P19)</f>
        <v>2646703</v>
      </c>
      <c r="Q21" s="634" t="e">
        <f>SUM(Q15:Q19)</f>
        <v>#REF!</v>
      </c>
      <c r="R21" s="634" t="e">
        <f t="shared" ref="R21:U21" si="6">SUM(R15:R19)</f>
        <v>#REF!</v>
      </c>
      <c r="S21" s="634" t="e">
        <f t="shared" si="6"/>
        <v>#REF!</v>
      </c>
      <c r="T21" s="634" t="e">
        <f t="shared" si="6"/>
        <v>#REF!</v>
      </c>
      <c r="U21" s="634" t="e">
        <f t="shared" si="6"/>
        <v>#REF!</v>
      </c>
    </row>
    <row r="22" spans="2:28" s="624" customFormat="1" x14ac:dyDescent="0.2">
      <c r="B22" s="624" t="s">
        <v>256</v>
      </c>
      <c r="C22" s="636"/>
      <c r="E22" s="636"/>
      <c r="F22" s="636"/>
      <c r="G22" s="636"/>
      <c r="H22" s="636"/>
      <c r="I22" s="636"/>
      <c r="J22" s="636"/>
      <c r="K22" s="636"/>
      <c r="L22" s="636"/>
      <c r="M22" s="636"/>
      <c r="N22" s="636"/>
      <c r="O22" s="636"/>
      <c r="P22" s="636"/>
      <c r="Q22" s="638" t="e">
        <f>Q21/P21-1</f>
        <v>#REF!</v>
      </c>
      <c r="R22" s="638" t="e">
        <f>R21/Q21-1</f>
        <v>#REF!</v>
      </c>
      <c r="S22" s="638" t="e">
        <f>S21/R21-1</f>
        <v>#REF!</v>
      </c>
      <c r="T22" s="638" t="e">
        <f>T21/S21-1</f>
        <v>#REF!</v>
      </c>
      <c r="U22" s="638" t="e">
        <f>U21/T21-1</f>
        <v>#REF!</v>
      </c>
      <c r="W22" s="822"/>
      <c r="X22" s="822"/>
      <c r="Y22" s="822"/>
      <c r="Z22" s="822"/>
      <c r="AA22" s="822"/>
      <c r="AB22" s="822"/>
    </row>
    <row r="23" spans="2:28" x14ac:dyDescent="0.2">
      <c r="C23" s="627"/>
      <c r="E23" s="627"/>
      <c r="F23" s="627"/>
      <c r="G23" s="627"/>
      <c r="H23" s="627"/>
      <c r="I23" s="627"/>
      <c r="J23" s="627"/>
      <c r="K23" s="627"/>
      <c r="L23" s="627"/>
      <c r="M23" s="636"/>
      <c r="N23" s="627"/>
      <c r="O23" s="627"/>
      <c r="P23" s="825"/>
      <c r="Q23" s="825"/>
      <c r="R23" s="825"/>
      <c r="S23" s="825"/>
      <c r="T23" s="825"/>
      <c r="U23" s="825"/>
    </row>
    <row r="24" spans="2:28" x14ac:dyDescent="0.2">
      <c r="B24" s="622" t="s">
        <v>257</v>
      </c>
      <c r="C24" s="627" t="s">
        <v>258</v>
      </c>
      <c r="E24" s="627">
        <v>1553079</v>
      </c>
      <c r="F24" s="627"/>
      <c r="G24" s="627">
        <v>2064934</v>
      </c>
      <c r="H24" s="627"/>
      <c r="I24" s="627">
        <v>2183407</v>
      </c>
      <c r="J24" s="627"/>
      <c r="K24" s="627">
        <v>2253198</v>
      </c>
      <c r="L24" s="627"/>
      <c r="M24" s="636">
        <v>2335563</v>
      </c>
      <c r="N24" s="627"/>
      <c r="O24" s="627"/>
      <c r="P24" s="627">
        <f>Cap_Inc!P24</f>
        <v>0</v>
      </c>
      <c r="Q24" s="627">
        <f>P24</f>
        <v>0</v>
      </c>
      <c r="R24" s="825">
        <f>Q24</f>
        <v>0</v>
      </c>
      <c r="S24" s="825">
        <f>R24</f>
        <v>0</v>
      </c>
      <c r="T24" s="825">
        <f>S24</f>
        <v>0</v>
      </c>
      <c r="U24" s="825">
        <f>T24</f>
        <v>0</v>
      </c>
      <c r="W24" s="823"/>
      <c r="X24" s="824"/>
      <c r="Y24" s="824"/>
      <c r="Z24" s="824"/>
      <c r="AA24" s="824"/>
      <c r="AB24" s="824"/>
    </row>
    <row r="25" spans="2:28" x14ac:dyDescent="0.2">
      <c r="B25" s="622" t="s">
        <v>259</v>
      </c>
      <c r="C25" s="627" t="s">
        <v>260</v>
      </c>
      <c r="E25" s="627">
        <v>4746481</v>
      </c>
      <c r="F25" s="627"/>
      <c r="G25" s="627">
        <v>4639422</v>
      </c>
      <c r="H25" s="627"/>
      <c r="I25" s="627">
        <v>4735507</v>
      </c>
      <c r="J25" s="627"/>
      <c r="K25" s="627">
        <v>4149820</v>
      </c>
      <c r="L25" s="627"/>
      <c r="M25" s="636">
        <v>4406845</v>
      </c>
      <c r="N25" s="627"/>
      <c r="O25" s="627"/>
      <c r="P25" s="837">
        <v>3977000</v>
      </c>
      <c r="Q25" s="794">
        <f>H107+P25</f>
        <v>4796000</v>
      </c>
      <c r="R25" s="794">
        <f>I107+Q25</f>
        <v>4696000</v>
      </c>
      <c r="S25" s="794">
        <f>J107+R25</f>
        <v>4779000</v>
      </c>
      <c r="T25" s="794">
        <f>K107+S25</f>
        <v>4856000</v>
      </c>
      <c r="U25" s="794">
        <f>L107+T25</f>
        <v>5163000</v>
      </c>
      <c r="Z25" s="832"/>
    </row>
    <row r="26" spans="2:28" s="624" customFormat="1" x14ac:dyDescent="0.2">
      <c r="B26" s="624" t="s">
        <v>128</v>
      </c>
      <c r="C26" s="636"/>
      <c r="E26" s="636"/>
      <c r="F26" s="636"/>
      <c r="G26" s="636"/>
      <c r="H26" s="636"/>
      <c r="I26" s="636"/>
      <c r="J26" s="636"/>
      <c r="K26" s="636"/>
      <c r="L26" s="636"/>
      <c r="M26" s="636"/>
      <c r="N26" s="636"/>
      <c r="O26" s="636"/>
      <c r="P26" s="637"/>
      <c r="Q26" s="637">
        <f>Q25/P25-1</f>
        <v>0.20593412119688215</v>
      </c>
      <c r="R26" s="637">
        <v>0.05</v>
      </c>
      <c r="S26" s="637">
        <v>0.03</v>
      </c>
      <c r="T26" s="637">
        <v>0.03</v>
      </c>
      <c r="U26" s="637">
        <v>0.03</v>
      </c>
    </row>
    <row r="27" spans="2:28" x14ac:dyDescent="0.2">
      <c r="B27" s="622" t="s">
        <v>193</v>
      </c>
      <c r="C27" s="627" t="s">
        <v>261</v>
      </c>
      <c r="E27" s="627">
        <v>252858</v>
      </c>
      <c r="F27" s="627"/>
      <c r="G27" s="627">
        <v>101261</v>
      </c>
      <c r="H27" s="627"/>
      <c r="I27" s="627">
        <v>0</v>
      </c>
      <c r="J27" s="627"/>
      <c r="K27" s="627">
        <v>76508</v>
      </c>
      <c r="L27" s="627"/>
      <c r="M27" s="636">
        <v>81259</v>
      </c>
      <c r="N27" s="627"/>
      <c r="O27" s="627"/>
      <c r="P27" s="627">
        <f>Cap_Inc!P28</f>
        <v>81259</v>
      </c>
      <c r="Q27" s="627">
        <f>$P$27</f>
        <v>81259</v>
      </c>
      <c r="R27" s="627">
        <f>$P$27</f>
        <v>81259</v>
      </c>
      <c r="S27" s="627">
        <f>$P$27</f>
        <v>81259</v>
      </c>
      <c r="T27" s="627">
        <f>$P$27</f>
        <v>81259</v>
      </c>
      <c r="U27" s="627">
        <f>$P$27</f>
        <v>81259</v>
      </c>
    </row>
    <row r="28" spans="2:28" x14ac:dyDescent="0.2">
      <c r="B28" s="622" t="s">
        <v>262</v>
      </c>
      <c r="C28" s="627" t="s">
        <v>263</v>
      </c>
      <c r="E28" s="627">
        <v>33973</v>
      </c>
      <c r="F28" s="627"/>
      <c r="G28" s="627">
        <v>50394</v>
      </c>
      <c r="H28" s="627"/>
      <c r="I28" s="627">
        <v>5671</v>
      </c>
      <c r="J28" s="627"/>
      <c r="K28" s="627">
        <v>5671</v>
      </c>
      <c r="L28" s="627"/>
      <c r="M28" s="636">
        <v>263</v>
      </c>
      <c r="N28" s="627"/>
      <c r="O28" s="627"/>
      <c r="P28" s="627">
        <f>M28</f>
        <v>263</v>
      </c>
      <c r="Q28" s="627" t="e">
        <f>P28*(1+Q29)</f>
        <v>#REF!</v>
      </c>
      <c r="R28" s="627" t="e">
        <f>Q28*(1+R29)</f>
        <v>#REF!</v>
      </c>
      <c r="S28" s="627" t="e">
        <f>R28*(1+S29)</f>
        <v>#REF!</v>
      </c>
      <c r="T28" s="627" t="e">
        <f>S28*(1+T29)</f>
        <v>#REF!</v>
      </c>
      <c r="U28" s="627" t="e">
        <f>T28*(1+U29)</f>
        <v>#REF!</v>
      </c>
    </row>
    <row r="29" spans="2:28" x14ac:dyDescent="0.2">
      <c r="B29" s="622" t="s">
        <v>264</v>
      </c>
      <c r="C29" s="627"/>
      <c r="E29" s="627"/>
      <c r="F29" s="627"/>
      <c r="G29" s="627"/>
      <c r="H29" s="627"/>
      <c r="I29" s="627"/>
      <c r="J29" s="627"/>
      <c r="K29" s="627"/>
      <c r="L29" s="627"/>
      <c r="M29" s="636"/>
      <c r="N29" s="627"/>
      <c r="O29" s="627"/>
      <c r="P29" s="627"/>
      <c r="Q29" s="838" t="e">
        <f>H93</f>
        <v>#REF!</v>
      </c>
      <c r="R29" s="838" t="e">
        <f>I93</f>
        <v>#REF!</v>
      </c>
      <c r="S29" s="838" t="e">
        <f>J93</f>
        <v>#REF!</v>
      </c>
      <c r="T29" s="838" t="e">
        <f>K93</f>
        <v>#REF!</v>
      </c>
      <c r="U29" s="838" t="e">
        <f>L93</f>
        <v>#REF!</v>
      </c>
    </row>
    <row r="30" spans="2:28" x14ac:dyDescent="0.2">
      <c r="B30" s="632" t="s">
        <v>265</v>
      </c>
      <c r="E30" s="634">
        <v>10417326</v>
      </c>
      <c r="F30" s="627"/>
      <c r="G30" s="634">
        <v>10152500</v>
      </c>
      <c r="H30" s="627"/>
      <c r="I30" s="634">
        <v>10859531</v>
      </c>
      <c r="J30" s="627"/>
      <c r="K30" s="634">
        <v>10402153</v>
      </c>
      <c r="L30" s="627"/>
      <c r="M30" s="634">
        <v>11662364</v>
      </c>
      <c r="P30" s="726">
        <f>SUM(P21,P24,P25,P28,P27)</f>
        <v>6705225</v>
      </c>
      <c r="Q30" s="726" t="e">
        <f>SUM(Q21,Q24,Q25,Q28,Q27)</f>
        <v>#REF!</v>
      </c>
      <c r="R30" s="726" t="e">
        <f t="shared" ref="R30:T30" si="7">SUM(R21,R24,R25,R28,R27)</f>
        <v>#REF!</v>
      </c>
      <c r="S30" s="726" t="e">
        <f t="shared" si="7"/>
        <v>#REF!</v>
      </c>
      <c r="T30" s="726" t="e">
        <f t="shared" si="7"/>
        <v>#REF!</v>
      </c>
      <c r="U30" s="726" t="e">
        <f>SUM(U21,U24,U25,U28,U27)</f>
        <v>#REF!</v>
      </c>
    </row>
    <row r="31" spans="2:28" x14ac:dyDescent="0.2">
      <c r="E31" s="627"/>
      <c r="F31" s="627"/>
      <c r="G31" s="627"/>
      <c r="H31" s="627"/>
      <c r="I31" s="627"/>
      <c r="J31" s="627"/>
      <c r="K31" s="627"/>
      <c r="L31" s="627"/>
      <c r="P31" s="797">
        <f>P21+P27+P28</f>
        <v>2728225</v>
      </c>
      <c r="Q31" s="797" t="e">
        <f t="shared" ref="Q31:U31" si="8">Q21+Q27+Q28</f>
        <v>#REF!</v>
      </c>
      <c r="R31" s="797" t="e">
        <f t="shared" si="8"/>
        <v>#REF!</v>
      </c>
      <c r="S31" s="797" t="e">
        <f t="shared" si="8"/>
        <v>#REF!</v>
      </c>
      <c r="T31" s="797" t="e">
        <f t="shared" si="8"/>
        <v>#REF!</v>
      </c>
      <c r="U31" s="797" t="e">
        <f t="shared" si="8"/>
        <v>#REF!</v>
      </c>
    </row>
    <row r="32" spans="2:28" x14ac:dyDescent="0.2">
      <c r="B32" s="622" t="s">
        <v>266</v>
      </c>
      <c r="P32" s="818">
        <f>P30-K30</f>
        <v>-3696928</v>
      </c>
      <c r="Q32" s="818" t="e">
        <f>Q30-P30</f>
        <v>#REF!</v>
      </c>
      <c r="R32" s="818" t="e">
        <f>R30-Q30</f>
        <v>#REF!</v>
      </c>
      <c r="S32" s="818" t="e">
        <f>S30-R30</f>
        <v>#REF!</v>
      </c>
      <c r="T32" s="818" t="e">
        <f>T30-S30</f>
        <v>#REF!</v>
      </c>
      <c r="U32" s="818" t="e">
        <f>U30-T30</f>
        <v>#REF!</v>
      </c>
    </row>
    <row r="33" spans="1:21" s="691" customFormat="1" x14ac:dyDescent="0.2">
      <c r="A33" s="832"/>
      <c r="B33" s="832"/>
      <c r="C33" s="832"/>
      <c r="D33" s="832"/>
      <c r="E33" s="832"/>
      <c r="F33" s="832"/>
      <c r="G33" s="832"/>
      <c r="H33" s="832"/>
      <c r="I33" s="832"/>
      <c r="J33" s="832"/>
      <c r="K33" s="832"/>
      <c r="L33" s="832"/>
      <c r="M33" s="832"/>
      <c r="N33" s="832"/>
      <c r="O33" s="832"/>
      <c r="P33" s="825"/>
      <c r="Q33" s="825"/>
      <c r="R33" s="825"/>
      <c r="S33" s="825"/>
      <c r="T33" s="825"/>
      <c r="U33" s="825"/>
    </row>
    <row r="34" spans="1:21" x14ac:dyDescent="0.2">
      <c r="B34" s="623" t="s">
        <v>267</v>
      </c>
      <c r="C34" s="627"/>
      <c r="D34" s="690"/>
      <c r="G34" s="627"/>
      <c r="H34" s="627"/>
      <c r="I34" s="627"/>
      <c r="K34" s="627"/>
      <c r="L34" s="627"/>
      <c r="M34" s="627"/>
      <c r="N34" s="627"/>
      <c r="O34" s="627"/>
      <c r="P34" s="627"/>
      <c r="Q34" s="627"/>
      <c r="R34" s="627"/>
      <c r="S34" s="627"/>
      <c r="T34" s="627"/>
      <c r="U34" s="627"/>
    </row>
    <row r="35" spans="1:21" x14ac:dyDescent="0.2">
      <c r="B35" s="622" t="s">
        <v>268</v>
      </c>
      <c r="C35" s="627"/>
      <c r="D35" s="700"/>
      <c r="G35" s="627"/>
      <c r="H35" s="627"/>
      <c r="I35" s="627"/>
      <c r="K35" s="627"/>
      <c r="L35" s="627"/>
      <c r="M35" s="627"/>
      <c r="N35" s="627"/>
      <c r="O35" s="627"/>
      <c r="P35" s="839">
        <v>4.0500000000000001E-2</v>
      </c>
      <c r="Q35" s="840">
        <v>4.0500000000000001E-2</v>
      </c>
      <c r="R35" s="840">
        <v>4.0500000000000001E-2</v>
      </c>
      <c r="S35" s="840">
        <v>4.0500000000000001E-2</v>
      </c>
      <c r="T35" s="840">
        <v>4.0500000000000001E-2</v>
      </c>
      <c r="U35" s="840">
        <v>4.0500000000000001E-2</v>
      </c>
    </row>
    <row r="36" spans="1:21" x14ac:dyDescent="0.2">
      <c r="B36" s="622" t="s">
        <v>269</v>
      </c>
      <c r="C36" s="627"/>
      <c r="D36" s="640"/>
      <c r="G36" s="627"/>
      <c r="H36" s="627"/>
      <c r="I36" s="627"/>
      <c r="K36" s="627"/>
      <c r="L36" s="627"/>
      <c r="M36" s="627"/>
      <c r="N36" s="627"/>
      <c r="O36" s="627"/>
      <c r="P36" s="690">
        <v>7.4285000000000004E-2</v>
      </c>
      <c r="Q36" s="690">
        <v>7.4285000000000004E-2</v>
      </c>
      <c r="R36" s="690">
        <v>7.4285000000000004E-2</v>
      </c>
      <c r="S36" s="690">
        <v>7.4285000000000004E-2</v>
      </c>
      <c r="T36" s="690">
        <v>7.4285000000000004E-2</v>
      </c>
      <c r="U36" s="690">
        <v>7.4285000000000004E-2</v>
      </c>
    </row>
    <row r="37" spans="1:21" x14ac:dyDescent="0.2">
      <c r="B37" s="841" t="s">
        <v>270</v>
      </c>
      <c r="C37" s="627"/>
      <c r="G37" s="627"/>
      <c r="H37" s="627"/>
      <c r="I37" s="627"/>
      <c r="K37" s="627"/>
      <c r="L37" s="627"/>
      <c r="M37" s="627"/>
      <c r="N37" s="627"/>
      <c r="O37" s="627"/>
      <c r="P37" s="701">
        <v>0.114785</v>
      </c>
      <c r="Q37" s="701">
        <v>0.114785</v>
      </c>
      <c r="R37" s="701">
        <v>0.114785</v>
      </c>
      <c r="S37" s="701">
        <v>0.114785</v>
      </c>
      <c r="T37" s="701">
        <v>0.114785</v>
      </c>
      <c r="U37" s="701">
        <v>0.114785</v>
      </c>
    </row>
    <row r="38" spans="1:21" x14ac:dyDescent="0.2">
      <c r="B38" s="832"/>
      <c r="C38" s="627"/>
      <c r="G38" s="627"/>
      <c r="H38" s="627"/>
      <c r="I38" s="627"/>
      <c r="K38" s="627"/>
      <c r="L38" s="627"/>
      <c r="M38" s="627"/>
      <c r="N38" s="627"/>
      <c r="O38" s="627"/>
      <c r="P38" s="700"/>
      <c r="Q38" s="700"/>
      <c r="R38" s="700"/>
      <c r="S38" s="700"/>
      <c r="T38" s="700"/>
      <c r="U38" s="700"/>
    </row>
    <row r="39" spans="1:21" s="704" customFormat="1" x14ac:dyDescent="0.2">
      <c r="A39" s="1216" t="s">
        <v>271</v>
      </c>
      <c r="B39" s="1216"/>
      <c r="C39" s="842"/>
      <c r="D39" s="843"/>
      <c r="E39" s="844"/>
      <c r="F39" s="844"/>
      <c r="G39" s="842"/>
      <c r="H39" s="842"/>
      <c r="I39" s="842"/>
      <c r="J39" s="844"/>
      <c r="K39" s="842"/>
      <c r="L39" s="842"/>
      <c r="M39" s="842"/>
      <c r="N39" s="842"/>
      <c r="O39" s="842"/>
      <c r="P39" s="844"/>
      <c r="Q39" s="844"/>
      <c r="R39" s="844"/>
      <c r="S39" s="844"/>
      <c r="T39" s="844"/>
      <c r="U39" s="844"/>
    </row>
    <row r="40" spans="1:21" s="704" customFormat="1" x14ac:dyDescent="0.2">
      <c r="A40" s="844"/>
      <c r="B40" s="844" t="s">
        <v>272</v>
      </c>
      <c r="C40" s="842"/>
      <c r="D40" s="844"/>
      <c r="E40" s="844"/>
      <c r="F40" s="844"/>
      <c r="G40" s="842">
        <v>325650</v>
      </c>
      <c r="H40" s="842"/>
      <c r="I40" s="842">
        <v>314468</v>
      </c>
      <c r="J40" s="844"/>
      <c r="K40" s="842">
        <v>580193</v>
      </c>
      <c r="L40" s="842"/>
      <c r="M40" s="842"/>
      <c r="N40" s="842"/>
      <c r="O40" s="842"/>
      <c r="P40" s="842">
        <f t="shared" ref="P40:U40" si="9">P37*P21</f>
        <v>303801.80385500001</v>
      </c>
      <c r="Q40" s="842" t="e">
        <f t="shared" si="9"/>
        <v>#REF!</v>
      </c>
      <c r="R40" s="842" t="e">
        <f t="shared" si="9"/>
        <v>#REF!</v>
      </c>
      <c r="S40" s="842" t="e">
        <f t="shared" si="9"/>
        <v>#REF!</v>
      </c>
      <c r="T40" s="842" t="e">
        <f t="shared" si="9"/>
        <v>#REF!</v>
      </c>
      <c r="U40" s="842" t="e">
        <f t="shared" si="9"/>
        <v>#REF!</v>
      </c>
    </row>
    <row r="41" spans="1:21" s="704" customFormat="1" x14ac:dyDescent="0.2">
      <c r="A41" s="844"/>
      <c r="B41" s="844" t="s">
        <v>273</v>
      </c>
      <c r="C41" s="842"/>
      <c r="D41" s="844"/>
      <c r="E41" s="844"/>
      <c r="F41" s="844"/>
      <c r="G41" s="842">
        <v>243794</v>
      </c>
      <c r="H41" s="842"/>
      <c r="I41" s="842">
        <v>216163</v>
      </c>
      <c r="J41" s="842"/>
      <c r="K41" s="842">
        <v>167826</v>
      </c>
      <c r="L41" s="842"/>
      <c r="M41" s="842"/>
      <c r="N41" s="842"/>
      <c r="O41" s="842"/>
      <c r="P41" s="842">
        <f t="shared" ref="P41:U41" si="10">P25*P37</f>
        <v>456499.94500000001</v>
      </c>
      <c r="Q41" s="842">
        <f t="shared" si="10"/>
        <v>550508.86</v>
      </c>
      <c r="R41" s="842">
        <f t="shared" si="10"/>
        <v>539030.36</v>
      </c>
      <c r="S41" s="842">
        <f t="shared" si="10"/>
        <v>548557.51500000001</v>
      </c>
      <c r="T41" s="842">
        <f t="shared" si="10"/>
        <v>557395.96</v>
      </c>
      <c r="U41" s="842">
        <f t="shared" si="10"/>
        <v>592634.95499999996</v>
      </c>
    </row>
    <row r="42" spans="1:21" s="704" customFormat="1" x14ac:dyDescent="0.2">
      <c r="A42" s="844"/>
      <c r="B42" s="844" t="s">
        <v>274</v>
      </c>
      <c r="C42" s="842"/>
      <c r="D42" s="844"/>
      <c r="E42" s="844"/>
      <c r="F42" s="844"/>
      <c r="G42" s="842">
        <v>20490</v>
      </c>
      <c r="H42" s="842"/>
      <c r="I42" s="842">
        <v>56348</v>
      </c>
      <c r="J42" s="844"/>
      <c r="K42" s="842">
        <v>57525</v>
      </c>
      <c r="L42" s="842"/>
      <c r="M42" s="842"/>
      <c r="N42" s="842"/>
      <c r="O42" s="842"/>
      <c r="P42" s="842" cm="1">
        <f t="array" ref="P42">SUM(P24+P27:P28)*P37</f>
        <v>9357.5027699999991</v>
      </c>
      <c r="Q42" s="842" t="e" cm="1">
        <f t="array" ref="Q42">SUM(Q24+Q27:Q28)*Q37</f>
        <v>#REF!</v>
      </c>
      <c r="R42" s="842" t="e" cm="1">
        <f t="array" ref="R42">SUM(R24+R27:R28)*R37</f>
        <v>#REF!</v>
      </c>
      <c r="S42" s="842" t="e" cm="1">
        <f t="array" ref="S42">SUM(S24+S27:S28)*S37</f>
        <v>#REF!</v>
      </c>
      <c r="T42" s="842" t="e" cm="1">
        <f t="array" ref="T42">SUM(T24+T27:T28)*T37</f>
        <v>#REF!</v>
      </c>
      <c r="U42" s="842" t="e" cm="1">
        <f t="array" ref="U42">SUM(U24+U27:U28)*U37</f>
        <v>#REF!</v>
      </c>
    </row>
    <row r="43" spans="1:21" s="704" customFormat="1" x14ac:dyDescent="0.2">
      <c r="A43" s="844"/>
      <c r="B43" s="845" t="s">
        <v>275</v>
      </c>
      <c r="C43" s="842"/>
      <c r="D43" s="844"/>
      <c r="E43" s="844"/>
      <c r="F43" s="844"/>
      <c r="G43" s="846">
        <v>589934</v>
      </c>
      <c r="H43" s="842"/>
      <c r="I43" s="846">
        <v>586979</v>
      </c>
      <c r="J43" s="844"/>
      <c r="K43" s="846">
        <v>805544</v>
      </c>
      <c r="L43" s="842"/>
      <c r="M43" s="842"/>
      <c r="N43" s="842"/>
      <c r="O43" s="842"/>
      <c r="P43" s="846">
        <f>P30*P37</f>
        <v>769659.25162500003</v>
      </c>
      <c r="Q43" s="846" t="e">
        <f t="shared" ref="Q43:U43" si="11">Q30*Q37</f>
        <v>#REF!</v>
      </c>
      <c r="R43" s="846" t="e">
        <f t="shared" si="11"/>
        <v>#REF!</v>
      </c>
      <c r="S43" s="846" t="e">
        <f t="shared" si="11"/>
        <v>#REF!</v>
      </c>
      <c r="T43" s="846" t="e">
        <f t="shared" si="11"/>
        <v>#REF!</v>
      </c>
      <c r="U43" s="846" t="e">
        <f t="shared" si="11"/>
        <v>#REF!</v>
      </c>
    </row>
    <row r="44" spans="1:21" x14ac:dyDescent="0.2">
      <c r="D44" s="624">
        <v>0.16920760000000001</v>
      </c>
      <c r="G44" s="640"/>
      <c r="I44" s="640"/>
      <c r="K44" s="640"/>
      <c r="L44" s="640"/>
      <c r="P44" s="640"/>
      <c r="Q44" s="640"/>
      <c r="R44" s="640"/>
      <c r="S44" s="640"/>
      <c r="T44" s="640"/>
      <c r="U44" s="640"/>
    </row>
    <row r="45" spans="1:21" x14ac:dyDescent="0.2">
      <c r="A45" s="1212" t="s">
        <v>220</v>
      </c>
      <c r="B45" s="1212"/>
      <c r="G45" s="640"/>
      <c r="I45" s="640"/>
      <c r="K45" s="640"/>
      <c r="P45" s="640"/>
      <c r="Q45" s="640"/>
      <c r="R45" s="640"/>
      <c r="S45" s="640"/>
      <c r="T45" s="640"/>
      <c r="U45" s="640"/>
    </row>
    <row r="46" spans="1:21" x14ac:dyDescent="0.2">
      <c r="B46" s="655" t="s">
        <v>276</v>
      </c>
      <c r="C46" s="631" t="s">
        <v>277</v>
      </c>
      <c r="D46" s="642">
        <v>10293269.524</v>
      </c>
      <c r="E46" s="626">
        <v>3146265</v>
      </c>
      <c r="F46" s="626"/>
      <c r="G46" s="626">
        <v>3146265</v>
      </c>
      <c r="H46" s="626"/>
      <c r="I46" s="626">
        <v>3146265</v>
      </c>
      <c r="J46" s="626"/>
      <c r="K46" s="626">
        <v>3146265</v>
      </c>
      <c r="L46" s="627"/>
      <c r="M46" s="775">
        <f>K46+D46</f>
        <v>13439534.524</v>
      </c>
      <c r="O46" s="626"/>
      <c r="P46" s="580">
        <f>K46+D46+K47+K49-P49</f>
        <v>3604476.5240000002</v>
      </c>
      <c r="Q46" s="580">
        <f>P46</f>
        <v>3604476.5240000002</v>
      </c>
      <c r="R46" s="580">
        <f>Q46</f>
        <v>3604476.5240000002</v>
      </c>
      <c r="S46" s="580">
        <f>R46</f>
        <v>3604476.5240000002</v>
      </c>
      <c r="T46" s="580">
        <f>S46</f>
        <v>3604476.5240000002</v>
      </c>
      <c r="U46" s="580">
        <f>T46</f>
        <v>3604476.5240000002</v>
      </c>
    </row>
    <row r="47" spans="1:21" x14ac:dyDescent="0.2">
      <c r="B47" s="655" t="s">
        <v>278</v>
      </c>
      <c r="C47" s="622" t="s">
        <v>279</v>
      </c>
      <c r="E47" s="626">
        <v>218971</v>
      </c>
      <c r="F47" s="626"/>
      <c r="G47" s="626">
        <v>352272</v>
      </c>
      <c r="H47" s="626"/>
      <c r="I47" s="626">
        <v>-4193615</v>
      </c>
      <c r="J47" s="626"/>
      <c r="K47" s="626">
        <v>-8841106</v>
      </c>
      <c r="L47" s="627"/>
      <c r="M47" s="580">
        <f>K47</f>
        <v>-8841106</v>
      </c>
      <c r="P47" s="580">
        <f>0+P67</f>
        <v>47684.656384536975</v>
      </c>
      <c r="Q47" s="580">
        <f>P47+Q67</f>
        <v>95369.312769073949</v>
      </c>
      <c r="R47" s="580">
        <f t="shared" ref="R47:U47" si="12">Q47+R67</f>
        <v>143053.96915361093</v>
      </c>
      <c r="S47" s="580">
        <f t="shared" si="12"/>
        <v>190738.6255381479</v>
      </c>
      <c r="T47" s="580">
        <f t="shared" si="12"/>
        <v>238423.28192268487</v>
      </c>
      <c r="U47" s="580">
        <f t="shared" si="12"/>
        <v>286107.93830722186</v>
      </c>
    </row>
    <row r="48" spans="1:21" s="624" customFormat="1" x14ac:dyDescent="0.2">
      <c r="B48" s="655" t="s">
        <v>280</v>
      </c>
      <c r="C48" s="622"/>
      <c r="D48" s="622"/>
      <c r="E48" s="626">
        <v>-178</v>
      </c>
      <c r="F48" s="626"/>
      <c r="G48" s="626">
        <v>-178</v>
      </c>
      <c r="H48" s="626"/>
      <c r="I48" s="626">
        <v>-178</v>
      </c>
      <c r="J48" s="626"/>
      <c r="K48" s="626">
        <v>-178</v>
      </c>
      <c r="L48" s="847">
        <f>1-L51</f>
        <v>0.95369312769073955</v>
      </c>
      <c r="M48" s="580">
        <f>K48</f>
        <v>-178</v>
      </c>
      <c r="O48" s="309"/>
      <c r="P48" s="579">
        <f>K48</f>
        <v>-178</v>
      </c>
      <c r="Q48" s="579">
        <f>P48</f>
        <v>-178</v>
      </c>
      <c r="R48" s="579">
        <f>Q48</f>
        <v>-178</v>
      </c>
      <c r="S48" s="579">
        <f>R48</f>
        <v>-178</v>
      </c>
      <c r="T48" s="579">
        <f>S48</f>
        <v>-178</v>
      </c>
      <c r="U48" s="579">
        <f>T48</f>
        <v>-178</v>
      </c>
    </row>
    <row r="49" spans="1:29" x14ac:dyDescent="0.2">
      <c r="B49" s="655" t="s">
        <v>281</v>
      </c>
      <c r="C49" s="622" t="s">
        <v>282</v>
      </c>
      <c r="E49" s="626">
        <v>-4365</v>
      </c>
      <c r="F49" s="626"/>
      <c r="G49" s="626">
        <v>-367577</v>
      </c>
      <c r="H49" s="626"/>
      <c r="I49" s="626">
        <v>-1388185</v>
      </c>
      <c r="J49" s="626"/>
      <c r="K49" s="626">
        <v>-1361529</v>
      </c>
      <c r="L49" s="825"/>
      <c r="M49" s="580">
        <f>K49</f>
        <v>-1361529</v>
      </c>
      <c r="P49" s="580">
        <f>G49</f>
        <v>-367577</v>
      </c>
      <c r="Q49" s="580">
        <f>$P$49</f>
        <v>-367577</v>
      </c>
      <c r="R49" s="580">
        <f>$P$49</f>
        <v>-367577</v>
      </c>
      <c r="S49" s="580">
        <f>$P$49</f>
        <v>-367577</v>
      </c>
      <c r="T49" s="580">
        <f>$P$49</f>
        <v>-367577</v>
      </c>
      <c r="U49" s="580">
        <f>$P$49</f>
        <v>-367577</v>
      </c>
      <c r="AC49" s="644"/>
    </row>
    <row r="50" spans="1:29" x14ac:dyDescent="0.2">
      <c r="B50" s="766" t="s">
        <v>283</v>
      </c>
      <c r="C50" s="632"/>
      <c r="D50" s="632"/>
      <c r="E50" s="633">
        <f>SUM(E46:E49)</f>
        <v>3360693</v>
      </c>
      <c r="F50" s="633"/>
      <c r="G50" s="633">
        <f>SUM(G46:G49)</f>
        <v>3130782</v>
      </c>
      <c r="H50" s="633"/>
      <c r="I50" s="633">
        <f>SUM(I46:I49)</f>
        <v>-2435713</v>
      </c>
      <c r="J50" s="633"/>
      <c r="K50" s="767">
        <f>SUM(K46:K49)</f>
        <v>-7056548</v>
      </c>
      <c r="L50" s="825"/>
      <c r="M50" s="770">
        <f>SUM(M46:M49)</f>
        <v>3236721.5240000002</v>
      </c>
      <c r="P50" s="770">
        <f t="shared" ref="P50:U50" si="13">SUM(P46:P49)</f>
        <v>3284406.1803845372</v>
      </c>
      <c r="Q50" s="770">
        <f t="shared" si="13"/>
        <v>3332090.8367690742</v>
      </c>
      <c r="R50" s="770">
        <f t="shared" si="13"/>
        <v>3379775.4931536112</v>
      </c>
      <c r="S50" s="770">
        <f t="shared" si="13"/>
        <v>3427460.1495381482</v>
      </c>
      <c r="T50" s="770">
        <f t="shared" si="13"/>
        <v>3475144.8059226852</v>
      </c>
      <c r="U50" s="770">
        <f t="shared" si="13"/>
        <v>3522829.4623072222</v>
      </c>
      <c r="AC50" s="644"/>
    </row>
    <row r="51" spans="1:29" x14ac:dyDescent="0.2">
      <c r="A51" s="832"/>
      <c r="B51" s="764" t="s">
        <v>284</v>
      </c>
      <c r="C51" s="306">
        <v>0.16920760000000001</v>
      </c>
      <c r="K51" s="626">
        <v>622342.80909876607</v>
      </c>
      <c r="L51" s="848">
        <f>M51/M46</f>
        <v>4.6306872309260498E-2</v>
      </c>
      <c r="M51" s="580">
        <f>K51</f>
        <v>622342.80909876607</v>
      </c>
      <c r="N51" s="580">
        <f>M51</f>
        <v>622342.80909876607</v>
      </c>
      <c r="O51" s="626"/>
      <c r="P51" s="628">
        <f>$M$51</f>
        <v>622342.80909876607</v>
      </c>
      <c r="Q51" s="849">
        <f t="shared" ref="Q51:U51" si="14">$M$51</f>
        <v>622342.80909876607</v>
      </c>
      <c r="R51" s="849">
        <f t="shared" si="14"/>
        <v>622342.80909876607</v>
      </c>
      <c r="S51" s="849">
        <f t="shared" si="14"/>
        <v>622342.80909876607</v>
      </c>
      <c r="T51" s="849">
        <f t="shared" si="14"/>
        <v>622342.80909876607</v>
      </c>
      <c r="U51" s="849">
        <f t="shared" si="14"/>
        <v>622342.80909876607</v>
      </c>
    </row>
    <row r="52" spans="1:29" s="624" customFormat="1" x14ac:dyDescent="0.2">
      <c r="B52" s="765" t="s">
        <v>285</v>
      </c>
      <c r="K52" s="774">
        <f>K53-K51</f>
        <v>-632698.80909876607</v>
      </c>
      <c r="M52" s="643">
        <f>K52</f>
        <v>-632698.80909876607</v>
      </c>
      <c r="N52" s="772">
        <f>N53-N51</f>
        <v>-635719.80909876607</v>
      </c>
      <c r="O52" s="643"/>
      <c r="P52" s="819">
        <f>M52+P66*$L$51</f>
        <v>-630383.46548330307</v>
      </c>
      <c r="Q52" s="819">
        <f>P52+Q66*$L$51</f>
        <v>-628068.12186784006</v>
      </c>
      <c r="R52" s="819">
        <f t="shared" ref="R52:U52" si="15">Q52+R66*$L$51</f>
        <v>-625752.77825237706</v>
      </c>
      <c r="S52" s="819">
        <f t="shared" si="15"/>
        <v>-623437.43463691405</v>
      </c>
      <c r="T52" s="819">
        <f t="shared" si="15"/>
        <v>-621122.09102145105</v>
      </c>
      <c r="U52" s="819">
        <f t="shared" si="15"/>
        <v>-618806.74740598805</v>
      </c>
    </row>
    <row r="53" spans="1:29" s="624" customFormat="1" x14ac:dyDescent="0.2">
      <c r="B53" s="768" t="s">
        <v>286</v>
      </c>
      <c r="C53" s="769"/>
      <c r="D53" s="769"/>
      <c r="E53" s="633">
        <v>79908</v>
      </c>
      <c r="F53" s="633"/>
      <c r="G53" s="633">
        <v>-1605</v>
      </c>
      <c r="H53" s="633"/>
      <c r="I53" s="633">
        <v>-6672</v>
      </c>
      <c r="J53" s="633"/>
      <c r="K53" s="633">
        <v>-10356</v>
      </c>
      <c r="M53" s="643">
        <f>K53</f>
        <v>-10356</v>
      </c>
      <c r="N53" s="771">
        <v>-13377</v>
      </c>
      <c r="O53" s="643"/>
      <c r="P53" s="773">
        <f t="shared" ref="P53:U53" si="16">SUM(P51:P52)</f>
        <v>-8040.6563845369965</v>
      </c>
      <c r="Q53" s="773">
        <f t="shared" si="16"/>
        <v>-5725.312769073993</v>
      </c>
      <c r="R53" s="773">
        <f t="shared" si="16"/>
        <v>-3409.9691536109895</v>
      </c>
      <c r="S53" s="773">
        <f t="shared" si="16"/>
        <v>-1094.6255381479859</v>
      </c>
      <c r="T53" s="773">
        <f t="shared" si="16"/>
        <v>1220.7180773150176</v>
      </c>
      <c r="U53" s="773">
        <f t="shared" si="16"/>
        <v>3536.0616927780211</v>
      </c>
    </row>
    <row r="54" spans="1:29" s="624" customFormat="1" x14ac:dyDescent="0.2">
      <c r="B54" s="769" t="s">
        <v>287</v>
      </c>
      <c r="C54" s="769"/>
      <c r="D54" s="769"/>
      <c r="E54" s="633">
        <f>SUM(E50,E53)</f>
        <v>3440601</v>
      </c>
      <c r="F54" s="633"/>
      <c r="G54" s="633">
        <f>SUM(G50,G53)</f>
        <v>3129177</v>
      </c>
      <c r="H54" s="633"/>
      <c r="I54" s="633">
        <f>SUM(I50,I53)</f>
        <v>-2442385</v>
      </c>
      <c r="J54" s="633"/>
      <c r="K54" s="850">
        <f>SUM(K50,K53)</f>
        <v>-7066904</v>
      </c>
      <c r="O54" s="643"/>
      <c r="P54" s="793">
        <f>SUM(P50,P53)</f>
        <v>3276365.5240000002</v>
      </c>
      <c r="Q54" s="793">
        <f t="shared" ref="Q54:U54" si="17">SUM(Q50,Q53)</f>
        <v>3326365.5240000002</v>
      </c>
      <c r="R54" s="793">
        <f t="shared" si="17"/>
        <v>3376365.5240000002</v>
      </c>
      <c r="S54" s="793">
        <f t="shared" si="17"/>
        <v>3426365.5240000002</v>
      </c>
      <c r="T54" s="793">
        <f t="shared" si="17"/>
        <v>3476365.5240000002</v>
      </c>
      <c r="U54" s="793">
        <f t="shared" si="17"/>
        <v>3526365.5240000002</v>
      </c>
    </row>
    <row r="55" spans="1:29" s="624" customFormat="1" x14ac:dyDescent="0.2">
      <c r="E55" s="626"/>
      <c r="F55" s="626"/>
      <c r="G55" s="626"/>
      <c r="H55" s="626"/>
      <c r="I55" s="626"/>
      <c r="J55" s="626"/>
      <c r="K55" s="849"/>
      <c r="O55" s="643"/>
      <c r="P55" s="820"/>
      <c r="Q55" s="820"/>
      <c r="R55" s="820"/>
      <c r="S55" s="820"/>
      <c r="T55" s="820"/>
      <c r="U55" s="820"/>
    </row>
    <row r="56" spans="1:29" s="624" customFormat="1" x14ac:dyDescent="0.2">
      <c r="B56" s="624" t="s">
        <v>288</v>
      </c>
      <c r="E56" s="626"/>
      <c r="F56" s="626"/>
      <c r="G56" s="626"/>
      <c r="H56" s="626"/>
      <c r="I56" s="626"/>
      <c r="J56" s="626"/>
      <c r="K56" s="849"/>
      <c r="O56" s="643"/>
      <c r="P56" s="820"/>
      <c r="Q56" s="820"/>
      <c r="R56" s="820"/>
      <c r="S56" s="820"/>
      <c r="T56" s="820"/>
      <c r="U56" s="820"/>
    </row>
    <row r="57" spans="1:29" s="624" customFormat="1" x14ac:dyDescent="0.2">
      <c r="B57" s="624" t="s">
        <v>289</v>
      </c>
      <c r="E57" s="626"/>
      <c r="F57" s="626"/>
      <c r="G57" s="626"/>
      <c r="H57" s="626"/>
      <c r="I57" s="626"/>
      <c r="J57" s="626"/>
      <c r="K57" s="849"/>
      <c r="O57" s="643"/>
      <c r="P57" s="820"/>
      <c r="Q57" s="820"/>
      <c r="R57" s="820"/>
      <c r="S57" s="820"/>
      <c r="T57" s="820"/>
      <c r="U57" s="820"/>
    </row>
    <row r="58" spans="1:29" s="624" customFormat="1" x14ac:dyDescent="0.2">
      <c r="E58" s="626"/>
      <c r="F58" s="626"/>
      <c r="G58" s="626"/>
      <c r="H58" s="626"/>
      <c r="I58" s="626"/>
      <c r="J58" s="626"/>
      <c r="K58" s="626"/>
      <c r="O58" s="643"/>
      <c r="P58" s="606"/>
      <c r="Q58" s="606"/>
      <c r="R58" s="606"/>
      <c r="S58" s="606"/>
      <c r="T58" s="606"/>
      <c r="U58" s="606"/>
    </row>
    <row r="59" spans="1:29" s="624" customFormat="1" x14ac:dyDescent="0.2">
      <c r="E59" s="643"/>
      <c r="F59" s="643"/>
      <c r="G59" s="643"/>
      <c r="H59" s="643"/>
      <c r="I59" s="643"/>
      <c r="J59" s="643"/>
      <c r="K59" s="643"/>
      <c r="L59" s="825"/>
      <c r="M59" s="580"/>
      <c r="N59" s="636">
        <v>589994732307</v>
      </c>
      <c r="O59" s="643"/>
      <c r="P59" s="606"/>
      <c r="Q59" s="606"/>
      <c r="R59" s="606"/>
      <c r="S59" s="606"/>
      <c r="T59" s="606"/>
      <c r="U59" s="606"/>
    </row>
    <row r="60" spans="1:29" x14ac:dyDescent="0.2">
      <c r="B60" s="622" t="s">
        <v>290</v>
      </c>
      <c r="C60" s="631" t="s">
        <v>291</v>
      </c>
      <c r="D60" s="645">
        <v>605801285307</v>
      </c>
      <c r="E60" s="626">
        <v>606407693</v>
      </c>
      <c r="F60" s="626"/>
      <c r="G60" s="626">
        <v>606407693</v>
      </c>
      <c r="H60" s="626"/>
      <c r="I60" s="626">
        <v>606407693</v>
      </c>
      <c r="J60" s="626"/>
      <c r="K60" s="626">
        <v>606407693</v>
      </c>
      <c r="L60" s="579"/>
      <c r="O60" s="626"/>
      <c r="P60" s="626">
        <f>K60+D60</f>
        <v>606407693000</v>
      </c>
      <c r="Q60" s="626">
        <f>P60</f>
        <v>606407693000</v>
      </c>
      <c r="R60" s="626">
        <f>Q60</f>
        <v>606407693000</v>
      </c>
      <c r="S60" s="626">
        <f>R60</f>
        <v>606407693000</v>
      </c>
      <c r="T60" s="626">
        <f>S60</f>
        <v>606407693000</v>
      </c>
      <c r="U60" s="626">
        <f>T60</f>
        <v>606407693000</v>
      </c>
    </row>
    <row r="61" spans="1:29" x14ac:dyDescent="0.2">
      <c r="B61" s="622" t="s">
        <v>292</v>
      </c>
      <c r="E61" s="646">
        <f>E46*1000/E60</f>
        <v>5.188365906828956</v>
      </c>
      <c r="F61" s="646"/>
      <c r="G61" s="646">
        <f>G46*1000/G60</f>
        <v>5.188365906828956</v>
      </c>
      <c r="H61" s="646"/>
      <c r="I61" s="646">
        <f>I46*1000/I60</f>
        <v>5.188365906828956</v>
      </c>
      <c r="J61" s="646"/>
      <c r="K61" s="646">
        <f>K46*1000/K60</f>
        <v>5.188365906828956</v>
      </c>
      <c r="L61" s="579"/>
      <c r="O61" s="626"/>
      <c r="P61" s="647">
        <f t="shared" ref="P61:U61" si="18">P46*1000/P60</f>
        <v>5.9439821849357703E-3</v>
      </c>
      <c r="Q61" s="647">
        <f t="shared" si="18"/>
        <v>5.9439821849357703E-3</v>
      </c>
      <c r="R61" s="647">
        <f t="shared" si="18"/>
        <v>5.9439821849357703E-3</v>
      </c>
      <c r="S61" s="647">
        <f t="shared" si="18"/>
        <v>5.9439821849357703E-3</v>
      </c>
      <c r="T61" s="647">
        <f t="shared" si="18"/>
        <v>5.9439821849357703E-3</v>
      </c>
      <c r="U61" s="647">
        <f t="shared" si="18"/>
        <v>5.9439821849357703E-3</v>
      </c>
    </row>
    <row r="62" spans="1:29" x14ac:dyDescent="0.2">
      <c r="B62" s="622" t="s">
        <v>293</v>
      </c>
      <c r="E62" s="648"/>
      <c r="F62" s="626"/>
      <c r="G62" s="607">
        <f>G63*1000/G60</f>
        <v>3.7433236355726773</v>
      </c>
      <c r="H62" s="626"/>
      <c r="I62" s="626" t="s">
        <v>294</v>
      </c>
      <c r="J62" s="626"/>
      <c r="K62" s="607">
        <f>K63*1000/K60</f>
        <v>7.0865592588168977E-2</v>
      </c>
      <c r="L62" s="579"/>
      <c r="O62" s="626"/>
      <c r="P62" s="608">
        <f t="shared" ref="P62:U62" si="19">P63*1000/P60</f>
        <v>1.3918570158653737E-3</v>
      </c>
      <c r="Q62" s="608" t="e">
        <f>Q63*1000/Q60</f>
        <v>#REF!</v>
      </c>
      <c r="R62" s="608" t="e">
        <f t="shared" si="19"/>
        <v>#REF!</v>
      </c>
      <c r="S62" s="608" t="e">
        <f t="shared" si="19"/>
        <v>#REF!</v>
      </c>
      <c r="T62" s="608" t="e">
        <f t="shared" si="19"/>
        <v>#REF!</v>
      </c>
      <c r="U62" s="608" t="e">
        <f t="shared" si="19"/>
        <v>#REF!</v>
      </c>
    </row>
    <row r="63" spans="1:29" x14ac:dyDescent="0.2">
      <c r="B63" s="622" t="s">
        <v>295</v>
      </c>
      <c r="E63" s="626"/>
      <c r="F63" s="626"/>
      <c r="G63" s="626">
        <f>G82</f>
        <v>2269980.25</v>
      </c>
      <c r="H63" s="626"/>
      <c r="I63" s="626" t="s">
        <v>294</v>
      </c>
      <c r="J63" s="626"/>
      <c r="K63" s="626">
        <f>K82</f>
        <v>42973.440514469454</v>
      </c>
      <c r="L63" s="579"/>
      <c r="O63" s="626"/>
      <c r="P63" s="626">
        <f t="shared" ref="P63:U63" si="20">P82</f>
        <v>844032.80197678565</v>
      </c>
      <c r="Q63" s="626" t="e">
        <f t="shared" si="20"/>
        <v>#REF!</v>
      </c>
      <c r="R63" s="626" t="e">
        <f t="shared" si="20"/>
        <v>#REF!</v>
      </c>
      <c r="S63" s="626" t="e">
        <f t="shared" si="20"/>
        <v>#REF!</v>
      </c>
      <c r="T63" s="626" t="e">
        <f t="shared" si="20"/>
        <v>#REF!</v>
      </c>
      <c r="U63" s="626" t="e">
        <f t="shared" si="20"/>
        <v>#REF!</v>
      </c>
    </row>
    <row r="64" spans="1:29" x14ac:dyDescent="0.2">
      <c r="E64" s="626"/>
      <c r="F64" s="626"/>
      <c r="G64" s="626"/>
      <c r="H64" s="626"/>
      <c r="I64" s="626"/>
      <c r="J64" s="626"/>
      <c r="K64" s="626"/>
      <c r="L64" s="579"/>
      <c r="P64" s="640"/>
      <c r="Q64" s="640"/>
      <c r="R64" s="640"/>
      <c r="S64" s="640"/>
      <c r="T64" s="640"/>
      <c r="U64" s="640"/>
    </row>
    <row r="65" spans="2:23" x14ac:dyDescent="0.2">
      <c r="B65" s="623" t="s">
        <v>296</v>
      </c>
      <c r="E65" s="626"/>
      <c r="F65" s="626"/>
      <c r="G65" s="626"/>
      <c r="H65" s="626"/>
      <c r="I65" s="626"/>
      <c r="J65" s="626"/>
      <c r="K65" s="626"/>
      <c r="L65" s="579"/>
      <c r="P65" s="640"/>
      <c r="Q65" s="640"/>
      <c r="R65" s="640"/>
      <c r="S65" s="640"/>
      <c r="T65" s="640"/>
      <c r="U65" s="640"/>
    </row>
    <row r="66" spans="2:23" x14ac:dyDescent="0.2">
      <c r="B66" s="622" t="s">
        <v>297</v>
      </c>
      <c r="E66" s="626">
        <v>341800</v>
      </c>
      <c r="F66" s="626"/>
      <c r="G66" s="626">
        <v>195700</v>
      </c>
      <c r="H66" s="626"/>
      <c r="I66" s="626">
        <v>-4555500</v>
      </c>
      <c r="J66" s="626"/>
      <c r="K66" s="626">
        <v>-4653142</v>
      </c>
      <c r="L66" s="579"/>
      <c r="P66" s="629">
        <v>50000</v>
      </c>
      <c r="Q66" s="629">
        <v>50000</v>
      </c>
      <c r="R66" s="629">
        <v>50000</v>
      </c>
      <c r="S66" s="629">
        <v>50000</v>
      </c>
      <c r="T66" s="629">
        <v>50000</v>
      </c>
      <c r="U66" s="629">
        <v>50000</v>
      </c>
      <c r="W66" s="630" t="s">
        <v>298</v>
      </c>
    </row>
    <row r="67" spans="2:23" x14ac:dyDescent="0.2">
      <c r="B67" s="622" t="s">
        <v>299</v>
      </c>
      <c r="E67" s="626">
        <f>E66-E68</f>
        <v>287219.55700000003</v>
      </c>
      <c r="F67" s="626"/>
      <c r="G67" s="626">
        <f>G66-G68</f>
        <v>138571</v>
      </c>
      <c r="H67" s="626"/>
      <c r="I67" s="626">
        <f>I66-I68</f>
        <v>-4555500</v>
      </c>
      <c r="J67" s="626"/>
      <c r="K67" s="626">
        <f>K66-K68</f>
        <v>-4653142</v>
      </c>
      <c r="L67" s="579"/>
      <c r="P67" s="626">
        <f>P66*$L$48-P68</f>
        <v>47684.656384536975</v>
      </c>
      <c r="Q67" s="626">
        <f t="shared" ref="Q67:U67" si="21">Q66*$L$48-Q68</f>
        <v>47684.656384536975</v>
      </c>
      <c r="R67" s="626">
        <f t="shared" si="21"/>
        <v>47684.656384536975</v>
      </c>
      <c r="S67" s="626">
        <f t="shared" si="21"/>
        <v>47684.656384536975</v>
      </c>
      <c r="T67" s="626">
        <f t="shared" si="21"/>
        <v>47684.656384536975</v>
      </c>
      <c r="U67" s="626">
        <f t="shared" si="21"/>
        <v>47684.656384536975</v>
      </c>
    </row>
    <row r="68" spans="2:23" x14ac:dyDescent="0.2">
      <c r="B68" s="622" t="s">
        <v>300</v>
      </c>
      <c r="E68" s="626">
        <v>54580.442999999999</v>
      </c>
      <c r="F68" s="626"/>
      <c r="G68" s="626">
        <v>57129</v>
      </c>
      <c r="H68" s="626"/>
      <c r="I68" s="580"/>
      <c r="J68" s="626"/>
      <c r="K68" s="626"/>
      <c r="L68" s="579"/>
      <c r="P68" s="627">
        <f>P66*$L$48*P69</f>
        <v>0</v>
      </c>
      <c r="Q68" s="627">
        <f t="shared" ref="Q68:U68" si="22">Q66*$L$48*Q69</f>
        <v>0</v>
      </c>
      <c r="R68" s="627">
        <f t="shared" si="22"/>
        <v>0</v>
      </c>
      <c r="S68" s="627">
        <f t="shared" si="22"/>
        <v>0</v>
      </c>
      <c r="T68" s="627">
        <f t="shared" si="22"/>
        <v>0</v>
      </c>
      <c r="U68" s="627">
        <f t="shared" si="22"/>
        <v>0</v>
      </c>
    </row>
    <row r="69" spans="2:23" ht="16" x14ac:dyDescent="0.2">
      <c r="B69" s="622" t="s">
        <v>301</v>
      </c>
      <c r="E69" s="649">
        <f>E68/E66</f>
        <v>0.15968532182562903</v>
      </c>
      <c r="G69" s="649">
        <f>G68/G66</f>
        <v>0.29192130812468065</v>
      </c>
      <c r="I69" s="579"/>
      <c r="K69" s="579"/>
      <c r="L69" s="579"/>
      <c r="P69" s="635"/>
      <c r="Q69" s="635"/>
      <c r="R69" s="635"/>
      <c r="S69" s="635"/>
      <c r="T69" s="635"/>
      <c r="U69" s="635"/>
    </row>
    <row r="70" spans="2:23" x14ac:dyDescent="0.2">
      <c r="E70" s="579"/>
      <c r="G70" s="579"/>
      <c r="I70" s="579"/>
      <c r="K70" s="579"/>
      <c r="L70" s="579"/>
      <c r="P70" s="640"/>
      <c r="Q70" s="640"/>
      <c r="R70" s="640"/>
      <c r="S70" s="640"/>
      <c r="T70" s="640"/>
      <c r="U70" s="640"/>
    </row>
    <row r="71" spans="2:23" x14ac:dyDescent="0.2">
      <c r="B71" s="623" t="s">
        <v>225</v>
      </c>
      <c r="C71" s="622" t="s">
        <v>302</v>
      </c>
      <c r="E71" s="579"/>
      <c r="G71" s="579"/>
      <c r="I71" s="579"/>
      <c r="K71" s="579"/>
      <c r="L71" s="579"/>
      <c r="P71" s="640"/>
      <c r="Q71" s="640"/>
      <c r="R71" s="640"/>
      <c r="S71" s="640"/>
      <c r="T71" s="640"/>
      <c r="U71" s="640"/>
    </row>
    <row r="72" spans="2:23" x14ac:dyDescent="0.2">
      <c r="B72" s="832" t="s">
        <v>303</v>
      </c>
      <c r="C72" s="635"/>
      <c r="E72" s="626">
        <v>1081642</v>
      </c>
      <c r="F72" s="626"/>
      <c r="G72" s="626">
        <v>1072579</v>
      </c>
      <c r="H72" s="626"/>
      <c r="I72" s="626">
        <v>1695841</v>
      </c>
      <c r="J72" s="626"/>
      <c r="K72" s="626">
        <v>1046835</v>
      </c>
      <c r="L72" s="579"/>
      <c r="P72" s="626">
        <f>K72+P11</f>
        <v>2569464.27031375</v>
      </c>
      <c r="Q72" s="626" t="e">
        <f>P76+Q11</f>
        <v>#REF!</v>
      </c>
      <c r="R72" s="626" t="e">
        <f>Q76+R11</f>
        <v>#REF!</v>
      </c>
      <c r="S72" s="626" t="e">
        <f>R76+S11</f>
        <v>#REF!</v>
      </c>
      <c r="T72" s="626" t="e">
        <f>S76+T11</f>
        <v>#REF!</v>
      </c>
      <c r="U72" s="626" t="e">
        <f>T76+U11</f>
        <v>#REF!</v>
      </c>
    </row>
    <row r="73" spans="2:23" x14ac:dyDescent="0.2">
      <c r="B73" s="832" t="s">
        <v>304</v>
      </c>
      <c r="C73" s="635" t="s">
        <v>305</v>
      </c>
      <c r="E73" s="626"/>
      <c r="F73" s="626"/>
      <c r="G73" s="626"/>
      <c r="H73" s="626"/>
      <c r="I73" s="626"/>
      <c r="J73" s="626"/>
      <c r="K73" s="626">
        <f>AVERAGE(E72:K72)</f>
        <v>1224224.25</v>
      </c>
      <c r="L73" s="579"/>
      <c r="P73" s="849">
        <f t="shared" ref="P73" si="23">$K$73</f>
        <v>1224224.25</v>
      </c>
      <c r="Q73" s="626">
        <f>P73*(1+Q74)</f>
        <v>1483540.6855843507</v>
      </c>
      <c r="R73" s="626">
        <f>Q73*(1+R74)</f>
        <v>1531346.0481643665</v>
      </c>
      <c r="S73" s="626">
        <f>R73*(1+S74)</f>
        <v>1572452.907413909</v>
      </c>
      <c r="T73" s="626">
        <f>S73*(1+T74)</f>
        <v>1586134.7928180306</v>
      </c>
      <c r="U73" s="626">
        <f>T73*(1+U74)</f>
        <v>1628389.3963362223</v>
      </c>
    </row>
    <row r="74" spans="2:23" x14ac:dyDescent="0.2">
      <c r="B74" s="832" t="s">
        <v>306</v>
      </c>
      <c r="C74" s="635"/>
      <c r="E74" s="626"/>
      <c r="F74" s="626"/>
      <c r="G74" s="626"/>
      <c r="H74" s="626"/>
      <c r="I74" s="626"/>
      <c r="J74" s="626"/>
      <c r="K74" s="626"/>
      <c r="L74" s="579"/>
      <c r="P74" s="849"/>
      <c r="Q74" s="637">
        <v>0.21182102509760825</v>
      </c>
      <c r="R74" s="637">
        <v>3.2223829817775274E-2</v>
      </c>
      <c r="S74" s="637">
        <v>2.684361206196173E-2</v>
      </c>
      <c r="T74" s="637">
        <v>8.7009826110615585E-3</v>
      </c>
      <c r="U74" s="637">
        <v>2.6639982748956292E-2</v>
      </c>
    </row>
    <row r="75" spans="2:23" x14ac:dyDescent="0.2">
      <c r="B75" s="832" t="s">
        <v>307</v>
      </c>
      <c r="C75" s="635"/>
      <c r="E75" s="626"/>
      <c r="F75" s="626"/>
      <c r="G75" s="626"/>
      <c r="H75" s="626"/>
      <c r="I75" s="626"/>
      <c r="J75" s="626"/>
      <c r="K75" s="626"/>
      <c r="L75" s="579"/>
      <c r="P75" s="626">
        <f>P72-P73</f>
        <v>1345240.02031375</v>
      </c>
      <c r="Q75" s="626" t="e">
        <f>Q72-Q73</f>
        <v>#REF!</v>
      </c>
      <c r="R75" s="626" t="e">
        <f>R72-R73</f>
        <v>#REF!</v>
      </c>
      <c r="S75" s="626" t="e">
        <f t="shared" ref="S75" si="24">S72-S73</f>
        <v>#REF!</v>
      </c>
      <c r="T75" s="626" t="e">
        <f>T72-T73</f>
        <v>#REF!</v>
      </c>
      <c r="U75" s="626" t="e">
        <f>U72-U73</f>
        <v>#REF!</v>
      </c>
    </row>
    <row r="76" spans="2:23" x14ac:dyDescent="0.2">
      <c r="B76" s="832" t="s">
        <v>308</v>
      </c>
      <c r="C76" s="635"/>
      <c r="E76" s="626"/>
      <c r="F76" s="626"/>
      <c r="G76" s="626"/>
      <c r="H76" s="626"/>
      <c r="I76" s="626"/>
      <c r="J76" s="626"/>
      <c r="K76" s="626"/>
      <c r="L76" s="579"/>
      <c r="P76" s="767">
        <f t="shared" ref="P76:U76" si="25">P72-(O19-P19)</f>
        <v>2569464.27031375</v>
      </c>
      <c r="Q76" s="767" t="e">
        <f t="shared" si="25"/>
        <v>#REF!</v>
      </c>
      <c r="R76" s="767" t="e">
        <f t="shared" si="25"/>
        <v>#REF!</v>
      </c>
      <c r="S76" s="767" t="e">
        <f>S72-(R19-S19)</f>
        <v>#REF!</v>
      </c>
      <c r="T76" s="767" t="e">
        <f t="shared" si="25"/>
        <v>#REF!</v>
      </c>
      <c r="U76" s="767" t="e">
        <f t="shared" si="25"/>
        <v>#REF!</v>
      </c>
    </row>
    <row r="77" spans="2:23" x14ac:dyDescent="0.2">
      <c r="C77" s="635"/>
      <c r="L77" s="579"/>
      <c r="P77" s="626"/>
      <c r="Q77" s="626"/>
      <c r="R77" s="626"/>
      <c r="S77" s="626"/>
      <c r="T77" s="626"/>
      <c r="U77" s="626"/>
    </row>
    <row r="78" spans="2:23" x14ac:dyDescent="0.2">
      <c r="B78" s="625" t="s">
        <v>309</v>
      </c>
      <c r="C78" s="650"/>
      <c r="L78" s="579"/>
      <c r="P78" s="626"/>
      <c r="Q78" s="626"/>
      <c r="R78" s="626"/>
      <c r="S78" s="626"/>
      <c r="T78" s="626"/>
      <c r="U78" s="626"/>
    </row>
    <row r="79" spans="2:23" x14ac:dyDescent="0.2">
      <c r="B79" s="622" t="s">
        <v>310</v>
      </c>
      <c r="C79" s="635"/>
      <c r="E79" s="626">
        <f>SUM(E46:E47,E48:E49,E53)</f>
        <v>3440601</v>
      </c>
      <c r="F79" s="626"/>
      <c r="G79" s="626">
        <f>SUM(G46:G47,G48:G49,G53)</f>
        <v>3129177</v>
      </c>
      <c r="H79" s="626"/>
      <c r="I79" s="626">
        <f>SUM(I46:I47,I48:I49,I53)</f>
        <v>-2442385</v>
      </c>
      <c r="J79" s="626"/>
      <c r="K79" s="626">
        <f>SUM(K46:K47,K48:K49,K53)</f>
        <v>-7066904</v>
      </c>
      <c r="L79" s="579"/>
      <c r="P79" s="626">
        <f t="shared" ref="P79:U79" si="26">P54</f>
        <v>3276365.5240000002</v>
      </c>
      <c r="Q79" s="626">
        <f t="shared" si="26"/>
        <v>3326365.5240000002</v>
      </c>
      <c r="R79" s="626">
        <f t="shared" si="26"/>
        <v>3376365.5240000002</v>
      </c>
      <c r="S79" s="626">
        <f t="shared" si="26"/>
        <v>3426365.5240000002</v>
      </c>
      <c r="T79" s="626">
        <f t="shared" si="26"/>
        <v>3476365.5240000002</v>
      </c>
      <c r="U79" s="626">
        <f t="shared" si="26"/>
        <v>3526365.5240000002</v>
      </c>
    </row>
    <row r="80" spans="2:23" x14ac:dyDescent="0.2">
      <c r="B80" s="622" t="s">
        <v>311</v>
      </c>
      <c r="C80" s="635"/>
      <c r="E80" s="627">
        <f>E30-E72</f>
        <v>9335684</v>
      </c>
      <c r="F80" s="627"/>
      <c r="G80" s="627">
        <f>G30-G72</f>
        <v>9079921</v>
      </c>
      <c r="H80" s="627"/>
      <c r="I80" s="627">
        <f>I30-I72</f>
        <v>9163690</v>
      </c>
      <c r="J80" s="627"/>
      <c r="K80" s="627">
        <f>K30-K72</f>
        <v>9355318</v>
      </c>
      <c r="L80" s="579"/>
      <c r="P80" s="795">
        <f t="shared" ref="P80:U80" si="27">P30-P76</f>
        <v>4135760.72968625</v>
      </c>
      <c r="Q80" s="795" t="e">
        <f t="shared" si="27"/>
        <v>#REF!</v>
      </c>
      <c r="R80" s="795" t="e">
        <f t="shared" si="27"/>
        <v>#REF!</v>
      </c>
      <c r="S80" s="795" t="e">
        <f t="shared" si="27"/>
        <v>#REF!</v>
      </c>
      <c r="T80" s="795" t="e">
        <f t="shared" si="27"/>
        <v>#REF!</v>
      </c>
      <c r="U80" s="795" t="e">
        <f t="shared" si="27"/>
        <v>#REF!</v>
      </c>
    </row>
    <row r="81" spans="1:21" x14ac:dyDescent="0.2">
      <c r="B81" s="622" t="s">
        <v>312</v>
      </c>
      <c r="C81" s="635"/>
      <c r="E81" s="651">
        <f>E80/E79</f>
        <v>2.7133875738570095</v>
      </c>
      <c r="G81" s="651">
        <f>G80/G79</f>
        <v>2.9016961967955153</v>
      </c>
      <c r="I81" s="651">
        <f>I80/I79</f>
        <v>-3.7519432849448386</v>
      </c>
      <c r="K81" s="651">
        <f>K80/K79</f>
        <v>-1.3238212943037007</v>
      </c>
      <c r="L81" s="579"/>
      <c r="P81" s="626"/>
      <c r="Q81" s="626"/>
      <c r="R81" s="626"/>
      <c r="S81" s="626"/>
      <c r="T81" s="626"/>
      <c r="U81" s="626"/>
    </row>
    <row r="82" spans="1:21" x14ac:dyDescent="0.2">
      <c r="B82" s="622" t="s">
        <v>313</v>
      </c>
      <c r="C82" s="635"/>
      <c r="G82" s="627">
        <f>G80/G83</f>
        <v>2269980.25</v>
      </c>
      <c r="I82" s="622" t="s">
        <v>294</v>
      </c>
      <c r="K82" s="627">
        <f>K80/K83</f>
        <v>42973.440514469454</v>
      </c>
      <c r="L82" s="579"/>
      <c r="P82" s="627">
        <f t="shared" ref="P82:U82" si="28">P80/P83</f>
        <v>844032.80197678565</v>
      </c>
      <c r="Q82" s="627" t="e">
        <f t="shared" si="28"/>
        <v>#REF!</v>
      </c>
      <c r="R82" s="627" t="e">
        <f t="shared" si="28"/>
        <v>#REF!</v>
      </c>
      <c r="S82" s="627" t="e">
        <f t="shared" si="28"/>
        <v>#REF!</v>
      </c>
      <c r="T82" s="627" t="e">
        <f t="shared" si="28"/>
        <v>#REF!</v>
      </c>
      <c r="U82" s="627" t="e">
        <f t="shared" si="28"/>
        <v>#REF!</v>
      </c>
    </row>
    <row r="83" spans="1:21" x14ac:dyDescent="0.2">
      <c r="B83" s="622" t="s">
        <v>314</v>
      </c>
      <c r="G83" s="622">
        <v>4</v>
      </c>
      <c r="I83" s="622" t="s">
        <v>294</v>
      </c>
      <c r="K83" s="622">
        <v>217.7</v>
      </c>
      <c r="P83" s="622">
        <v>4.9000000000000004</v>
      </c>
      <c r="Q83" s="622">
        <v>3.2</v>
      </c>
      <c r="R83" s="622">
        <v>2.6</v>
      </c>
      <c r="S83" s="622">
        <v>2.2000000000000002</v>
      </c>
      <c r="T83" s="622">
        <v>1.9</v>
      </c>
      <c r="U83" s="622">
        <v>1.7</v>
      </c>
    </row>
    <row r="85" spans="1:21" x14ac:dyDescent="0.2">
      <c r="A85" s="1212"/>
      <c r="B85" s="1212"/>
      <c r="N85" s="622" t="s">
        <v>315</v>
      </c>
      <c r="P85" s="627">
        <f>'Pro_Forma IS'!H25</f>
        <v>884792.77585230768</v>
      </c>
      <c r="Q85" s="627">
        <f>'Pro_Forma IS'!I25</f>
        <v>1727801.2947551701</v>
      </c>
      <c r="R85" s="627">
        <f>'Pro_Forma IS'!J25</f>
        <v>2696874.2659198418</v>
      </c>
      <c r="S85" s="627">
        <f>'Pro_Forma IS'!K25</f>
        <v>2792090.8428097293</v>
      </c>
      <c r="T85" s="627">
        <f>'Pro_Forma IS'!L25</f>
        <v>2675617.6573049817</v>
      </c>
      <c r="U85" s="627">
        <f>'Pro_Forma IS'!M25</f>
        <v>3060091.2436628789</v>
      </c>
    </row>
    <row r="86" spans="1:21" ht="16" x14ac:dyDescent="0.2">
      <c r="B86" s="1214" t="s">
        <v>316</v>
      </c>
      <c r="C86" s="1214"/>
      <c r="D86" s="652"/>
      <c r="F86" s="1215"/>
      <c r="G86" s="1215"/>
      <c r="H86" s="1215"/>
      <c r="I86" s="1215"/>
      <c r="J86" s="1215"/>
      <c r="N86" s="622" t="s">
        <v>317</v>
      </c>
      <c r="P86" s="799">
        <f t="shared" ref="P86:U86" si="29">P80/P85</f>
        <v>4.6742704535560131</v>
      </c>
      <c r="Q86" s="799" t="e">
        <f t="shared" si="29"/>
        <v>#REF!</v>
      </c>
      <c r="R86" s="799" t="e">
        <f t="shared" si="29"/>
        <v>#REF!</v>
      </c>
      <c r="S86" s="799" t="e">
        <f t="shared" si="29"/>
        <v>#REF!</v>
      </c>
      <c r="T86" s="799" t="e">
        <f t="shared" si="29"/>
        <v>#REF!</v>
      </c>
      <c r="U86" s="799" t="e">
        <f t="shared" si="29"/>
        <v>#REF!</v>
      </c>
    </row>
    <row r="87" spans="1:21" x14ac:dyDescent="0.2">
      <c r="I87" s="627"/>
    </row>
    <row r="88" spans="1:21" x14ac:dyDescent="0.2">
      <c r="B88" s="622" t="s">
        <v>318</v>
      </c>
    </row>
    <row r="90" spans="1:21" x14ac:dyDescent="0.2">
      <c r="B90" s="622" t="s">
        <v>319</v>
      </c>
    </row>
    <row r="91" spans="1:21" x14ac:dyDescent="0.2">
      <c r="C91" s="622">
        <v>2018</v>
      </c>
      <c r="D91" s="622">
        <v>2019</v>
      </c>
      <c r="E91" s="622">
        <v>2020</v>
      </c>
      <c r="F91" s="622">
        <v>2021</v>
      </c>
      <c r="G91" s="622">
        <v>2022</v>
      </c>
      <c r="H91" s="622">
        <v>2023</v>
      </c>
      <c r="I91" s="622">
        <v>2024</v>
      </c>
      <c r="J91" s="622">
        <v>2025</v>
      </c>
      <c r="K91" s="622">
        <v>2026</v>
      </c>
      <c r="L91" s="622">
        <v>2027</v>
      </c>
    </row>
    <row r="92" spans="1:21" x14ac:dyDescent="0.2">
      <c r="B92" s="622" t="s">
        <v>320</v>
      </c>
      <c r="D92" s="622" t="e">
        <f>#REF!</f>
        <v>#REF!</v>
      </c>
      <c r="E92" s="622" t="e">
        <f>#REF!</f>
        <v>#REF!</v>
      </c>
      <c r="F92" s="622" t="e">
        <f>#REF!</f>
        <v>#REF!</v>
      </c>
      <c r="G92" s="622" t="e">
        <f>#REF!</f>
        <v>#REF!</v>
      </c>
      <c r="H92" s="622" t="e">
        <f>#REF!</f>
        <v>#REF!</v>
      </c>
      <c r="I92" s="622" t="e">
        <f>#REF!</f>
        <v>#REF!</v>
      </c>
      <c r="J92" s="622" t="e">
        <f>#REF!</f>
        <v>#REF!</v>
      </c>
      <c r="K92" s="622" t="e">
        <f>#REF!</f>
        <v>#REF!</v>
      </c>
      <c r="L92" s="622" t="e">
        <f>#REF!</f>
        <v>#REF!</v>
      </c>
    </row>
    <row r="93" spans="1:21" x14ac:dyDescent="0.2">
      <c r="B93" s="622" t="s">
        <v>128</v>
      </c>
      <c r="E93" s="851" t="e">
        <f t="shared" ref="E93:L93" si="30">E92/D92-1</f>
        <v>#REF!</v>
      </c>
      <c r="F93" s="851" t="e">
        <f t="shared" si="30"/>
        <v>#REF!</v>
      </c>
      <c r="G93" s="851" t="e">
        <f t="shared" si="30"/>
        <v>#REF!</v>
      </c>
      <c r="H93" s="851" t="e">
        <f t="shared" si="30"/>
        <v>#REF!</v>
      </c>
      <c r="I93" s="851" t="e">
        <f t="shared" si="30"/>
        <v>#REF!</v>
      </c>
      <c r="J93" s="851" t="e">
        <f t="shared" si="30"/>
        <v>#REF!</v>
      </c>
      <c r="K93" s="851" t="e">
        <f t="shared" si="30"/>
        <v>#REF!</v>
      </c>
      <c r="L93" s="851" t="e">
        <f t="shared" si="30"/>
        <v>#REF!</v>
      </c>
    </row>
    <row r="95" spans="1:21" x14ac:dyDescent="0.2">
      <c r="B95" s="622" t="s">
        <v>321</v>
      </c>
    </row>
    <row r="96" spans="1:21" x14ac:dyDescent="0.2">
      <c r="B96" s="622" t="s">
        <v>322</v>
      </c>
    </row>
    <row r="98" spans="2:13" x14ac:dyDescent="0.2">
      <c r="B98" s="622" t="s">
        <v>323</v>
      </c>
    </row>
    <row r="100" spans="2:13" x14ac:dyDescent="0.2">
      <c r="B100" s="622" t="s">
        <v>324</v>
      </c>
    </row>
    <row r="102" spans="2:13" x14ac:dyDescent="0.2">
      <c r="B102" s="622" t="s">
        <v>325</v>
      </c>
    </row>
    <row r="103" spans="2:13" x14ac:dyDescent="0.2">
      <c r="C103" s="622">
        <v>2018</v>
      </c>
      <c r="D103" s="622">
        <v>2019</v>
      </c>
      <c r="E103" s="622">
        <v>2020</v>
      </c>
      <c r="F103" s="622">
        <v>2021</v>
      </c>
      <c r="G103" s="622">
        <v>2022</v>
      </c>
      <c r="H103" s="622">
        <v>2023</v>
      </c>
      <c r="I103" s="622">
        <v>2024</v>
      </c>
      <c r="J103" s="622">
        <v>2025</v>
      </c>
      <c r="K103" s="622">
        <v>2026</v>
      </c>
      <c r="L103" s="622">
        <v>2027</v>
      </c>
    </row>
    <row r="104" spans="2:13" x14ac:dyDescent="0.2">
      <c r="B104" s="622" t="s">
        <v>326</v>
      </c>
      <c r="C104" s="622">
        <f>CAPEX!X68</f>
        <v>4987953</v>
      </c>
      <c r="D104" s="622">
        <f>CAPEX!Y68</f>
        <v>5693553</v>
      </c>
      <c r="E104" s="627">
        <f>CAPEX!Z68</f>
        <v>5614366</v>
      </c>
      <c r="F104" s="627">
        <f>CAPEX!AA68</f>
        <v>5454167</v>
      </c>
      <c r="G104" s="627">
        <f>CAPEX!AB68</f>
        <v>5828167</v>
      </c>
      <c r="H104" s="797">
        <f>CAPEX!AC68</f>
        <v>6926167</v>
      </c>
      <c r="I104" s="797">
        <f>CAPEX!AD68</f>
        <v>7374167</v>
      </c>
      <c r="J104" s="797">
        <f>CAPEX!AE68</f>
        <v>8114167</v>
      </c>
      <c r="K104" s="797">
        <f>CAPEX!AF68</f>
        <v>8864167</v>
      </c>
      <c r="L104" s="641">
        <f>CAPEX!AG68</f>
        <v>9884167</v>
      </c>
    </row>
    <row r="105" spans="2:13" x14ac:dyDescent="0.2">
      <c r="B105" s="622" t="s">
        <v>327</v>
      </c>
      <c r="D105" s="825">
        <f t="shared" ref="D105:L105" si="31">D104-C104</f>
        <v>705600</v>
      </c>
      <c r="E105" s="825">
        <f t="shared" si="31"/>
        <v>-79187</v>
      </c>
      <c r="F105" s="825">
        <f t="shared" si="31"/>
        <v>-160199</v>
      </c>
      <c r="G105" s="825">
        <f t="shared" si="31"/>
        <v>374000</v>
      </c>
      <c r="H105" s="852">
        <f t="shared" si="31"/>
        <v>1098000</v>
      </c>
      <c r="I105" s="852">
        <f t="shared" si="31"/>
        <v>448000</v>
      </c>
      <c r="J105" s="852">
        <f t="shared" si="31"/>
        <v>740000</v>
      </c>
      <c r="K105" s="852">
        <f t="shared" si="31"/>
        <v>750000</v>
      </c>
      <c r="L105" s="852">
        <f t="shared" si="31"/>
        <v>1020000</v>
      </c>
      <c r="M105" s="627"/>
    </row>
    <row r="106" spans="2:13" x14ac:dyDescent="0.2">
      <c r="B106" s="622" t="s">
        <v>328</v>
      </c>
      <c r="D106" s="825"/>
      <c r="E106" s="825"/>
      <c r="F106" s="825"/>
      <c r="G106" s="825"/>
      <c r="H106" s="852">
        <v>-279000</v>
      </c>
      <c r="I106" s="852">
        <v>-548000</v>
      </c>
      <c r="J106" s="852">
        <v>-657000</v>
      </c>
      <c r="K106" s="852">
        <v>-673000</v>
      </c>
      <c r="L106" s="852">
        <v>-713000</v>
      </c>
    </row>
    <row r="107" spans="2:13" x14ac:dyDescent="0.2">
      <c r="B107" s="622" t="s">
        <v>329</v>
      </c>
      <c r="D107" s="825">
        <f t="shared" ref="D107:G107" si="32">D105</f>
        <v>705600</v>
      </c>
      <c r="E107" s="825">
        <f t="shared" si="32"/>
        <v>-79187</v>
      </c>
      <c r="F107" s="825">
        <f t="shared" si="32"/>
        <v>-160199</v>
      </c>
      <c r="G107" s="825">
        <f t="shared" si="32"/>
        <v>374000</v>
      </c>
      <c r="H107" s="852">
        <f>H105+H106</f>
        <v>819000</v>
      </c>
      <c r="I107" s="852">
        <f>I105+I106</f>
        <v>-100000</v>
      </c>
      <c r="J107" s="852">
        <f>J105+J106</f>
        <v>83000</v>
      </c>
      <c r="K107" s="852">
        <f>K105+K106</f>
        <v>77000</v>
      </c>
      <c r="L107" s="852">
        <f>L105+L106</f>
        <v>307000</v>
      </c>
    </row>
    <row r="110" spans="2:13" x14ac:dyDescent="0.2">
      <c r="B110" s="622" t="s">
        <v>330</v>
      </c>
    </row>
    <row r="113" spans="2:21" x14ac:dyDescent="0.2">
      <c r="B113" s="622" t="s">
        <v>331</v>
      </c>
    </row>
    <row r="114" spans="2:21" x14ac:dyDescent="0.2">
      <c r="B114" s="622" t="s">
        <v>332</v>
      </c>
    </row>
    <row r="115" spans="2:21" x14ac:dyDescent="0.2">
      <c r="B115" s="622" t="s">
        <v>333</v>
      </c>
    </row>
    <row r="116" spans="2:21" x14ac:dyDescent="0.2">
      <c r="B116" s="622" t="s">
        <v>334</v>
      </c>
    </row>
    <row r="118" spans="2:21" x14ac:dyDescent="0.2">
      <c r="B118" s="622" t="s">
        <v>335</v>
      </c>
    </row>
    <row r="119" spans="2:21" x14ac:dyDescent="0.2">
      <c r="B119" s="622" t="s">
        <v>336</v>
      </c>
    </row>
    <row r="120" spans="2:21" x14ac:dyDescent="0.2">
      <c r="B120" s="631" t="s">
        <v>337</v>
      </c>
    </row>
    <row r="121" spans="2:21" x14ac:dyDescent="0.2">
      <c r="B121" s="622" t="s">
        <v>338</v>
      </c>
    </row>
    <row r="122" spans="2:21" x14ac:dyDescent="0.2">
      <c r="B122" s="622" t="s">
        <v>339</v>
      </c>
    </row>
    <row r="123" spans="2:21" x14ac:dyDescent="0.2">
      <c r="B123" s="631" t="s">
        <v>340</v>
      </c>
    </row>
    <row r="125" spans="2:21" x14ac:dyDescent="0.2">
      <c r="B125" s="622" t="s">
        <v>341</v>
      </c>
    </row>
    <row r="126" spans="2:21" x14ac:dyDescent="0.2">
      <c r="B126" s="622" t="s">
        <v>342</v>
      </c>
      <c r="E126" s="623"/>
      <c r="F126" s="623"/>
      <c r="G126" s="623"/>
      <c r="H126" s="623"/>
      <c r="I126" s="623"/>
      <c r="J126" s="623"/>
      <c r="K126" s="623"/>
      <c r="L126" s="623"/>
      <c r="M126" s="625"/>
      <c r="N126" s="625"/>
      <c r="O126" s="623"/>
      <c r="P126" s="623"/>
      <c r="Q126" s="623"/>
      <c r="R126" s="623"/>
      <c r="S126" s="623"/>
      <c r="T126" s="623"/>
      <c r="U126" s="623"/>
    </row>
    <row r="129" spans="1:29" x14ac:dyDescent="0.2">
      <c r="G129" s="853"/>
      <c r="H129" s="853"/>
      <c r="I129" s="853"/>
      <c r="J129" s="853"/>
      <c r="K129" s="853"/>
      <c r="L129" s="853"/>
      <c r="M129" s="853"/>
      <c r="P129" s="690"/>
    </row>
    <row r="130" spans="1:29" x14ac:dyDescent="0.2">
      <c r="A130" s="832"/>
      <c r="B130" s="832"/>
      <c r="C130" s="825"/>
      <c r="D130" s="832"/>
      <c r="E130" s="825"/>
      <c r="F130" s="825"/>
      <c r="G130" s="825"/>
      <c r="H130" s="825"/>
      <c r="I130" s="825"/>
      <c r="J130" s="825"/>
      <c r="K130" s="825"/>
      <c r="L130" s="825"/>
      <c r="M130" s="825"/>
      <c r="N130" s="825"/>
      <c r="O130" s="825"/>
      <c r="P130" s="825"/>
      <c r="Q130" s="825"/>
      <c r="R130" s="825"/>
      <c r="S130" s="825"/>
      <c r="T130" s="825"/>
      <c r="U130" s="825"/>
      <c r="V130" s="832"/>
      <c r="W130" s="832"/>
      <c r="X130" s="832"/>
      <c r="Y130" s="832"/>
      <c r="Z130" s="832"/>
      <c r="AA130" s="832"/>
      <c r="AB130" s="832"/>
      <c r="AC130" s="832"/>
    </row>
    <row r="131" spans="1:29" x14ac:dyDescent="0.2">
      <c r="A131" s="832"/>
      <c r="B131" s="832"/>
      <c r="C131" s="825"/>
      <c r="D131" s="832"/>
      <c r="E131" s="825"/>
      <c r="F131" s="825"/>
      <c r="G131" s="825"/>
      <c r="H131" s="825"/>
      <c r="I131" s="825"/>
      <c r="J131" s="825"/>
      <c r="K131" s="825"/>
      <c r="L131" s="825"/>
      <c r="M131" s="825"/>
      <c r="N131" s="825"/>
      <c r="O131" s="825"/>
      <c r="P131" s="825"/>
      <c r="Q131" s="832"/>
      <c r="R131" s="832"/>
      <c r="S131" s="832"/>
      <c r="T131" s="832"/>
      <c r="U131" s="832"/>
      <c r="V131" s="832"/>
      <c r="W131" s="832"/>
      <c r="X131" s="832"/>
      <c r="Y131" s="832"/>
      <c r="Z131" s="832"/>
      <c r="AA131" s="832"/>
      <c r="AB131" s="832"/>
      <c r="AC131" s="832"/>
    </row>
    <row r="132" spans="1:29" x14ac:dyDescent="0.2">
      <c r="A132" s="832"/>
      <c r="B132" s="832"/>
      <c r="C132" s="825"/>
      <c r="D132" s="832"/>
      <c r="E132" s="825"/>
      <c r="F132" s="825"/>
      <c r="G132" s="825"/>
      <c r="H132" s="825"/>
      <c r="I132" s="825"/>
      <c r="J132" s="825"/>
      <c r="K132" s="825"/>
      <c r="L132" s="825"/>
      <c r="M132" s="825"/>
      <c r="N132" s="825"/>
      <c r="O132" s="825"/>
      <c r="P132" s="825"/>
      <c r="Q132" s="825"/>
      <c r="R132" s="825"/>
      <c r="S132" s="825"/>
      <c r="T132" s="825"/>
      <c r="U132" s="825"/>
      <c r="V132" s="832"/>
      <c r="W132" s="832"/>
      <c r="X132" s="832"/>
      <c r="Y132" s="832"/>
      <c r="Z132" s="832"/>
      <c r="AA132" s="832"/>
      <c r="AB132" s="832"/>
      <c r="AC132" s="832"/>
    </row>
    <row r="133" spans="1:29" x14ac:dyDescent="0.2">
      <c r="A133" s="832"/>
      <c r="B133" s="832"/>
      <c r="C133" s="825"/>
      <c r="D133" s="832"/>
      <c r="E133" s="825"/>
      <c r="F133" s="825"/>
      <c r="G133" s="825"/>
      <c r="H133" s="825"/>
      <c r="I133" s="825"/>
      <c r="J133" s="825"/>
      <c r="K133" s="825"/>
      <c r="L133" s="825"/>
      <c r="M133" s="825"/>
      <c r="N133" s="825"/>
      <c r="O133" s="825"/>
      <c r="P133" s="825"/>
      <c r="Q133" s="825"/>
      <c r="R133" s="825"/>
      <c r="S133" s="825"/>
      <c r="T133" s="825"/>
      <c r="U133" s="825"/>
      <c r="V133" s="832"/>
      <c r="W133" s="832"/>
      <c r="X133" s="832"/>
      <c r="Y133" s="832"/>
      <c r="Z133" s="832"/>
      <c r="AA133" s="832"/>
      <c r="AB133" s="832"/>
      <c r="AC133" s="832"/>
    </row>
    <row r="134" spans="1:29" x14ac:dyDescent="0.2">
      <c r="E134" s="627"/>
      <c r="G134" s="825"/>
      <c r="H134" s="825"/>
      <c r="I134" s="825"/>
      <c r="J134" s="825"/>
      <c r="K134" s="825"/>
      <c r="L134" s="825"/>
      <c r="M134" s="825"/>
      <c r="P134" s="825"/>
      <c r="Q134" s="825"/>
      <c r="R134" s="825"/>
      <c r="S134" s="825"/>
      <c r="T134" s="825"/>
      <c r="U134" s="825"/>
    </row>
    <row r="135" spans="1:29" x14ac:dyDescent="0.2">
      <c r="F135" s="832"/>
      <c r="G135" s="832"/>
      <c r="H135" s="832"/>
      <c r="I135" s="832"/>
      <c r="J135" s="832"/>
      <c r="P135" s="832"/>
      <c r="Q135" s="832"/>
      <c r="R135" s="832"/>
      <c r="S135" s="832"/>
      <c r="T135" s="832"/>
      <c r="U135" s="832"/>
    </row>
    <row r="136" spans="1:29" x14ac:dyDescent="0.2">
      <c r="F136" s="832"/>
      <c r="G136" s="825"/>
      <c r="H136" s="825"/>
      <c r="I136" s="825"/>
      <c r="J136" s="825"/>
      <c r="K136" s="825"/>
      <c r="P136" s="825"/>
      <c r="Q136" s="825"/>
      <c r="R136" s="825"/>
      <c r="S136" s="825"/>
      <c r="T136" s="825"/>
      <c r="U136" s="825"/>
    </row>
    <row r="137" spans="1:29" x14ac:dyDescent="0.2">
      <c r="F137" s="832"/>
      <c r="G137" s="825"/>
      <c r="H137" s="825"/>
      <c r="I137" s="825"/>
      <c r="J137" s="825"/>
      <c r="K137" s="825"/>
      <c r="P137" s="825"/>
      <c r="Q137" s="825"/>
      <c r="R137" s="825"/>
      <c r="S137" s="825"/>
      <c r="T137" s="825"/>
      <c r="U137" s="825"/>
    </row>
    <row r="138" spans="1:29" x14ac:dyDescent="0.2">
      <c r="G138" s="825"/>
      <c r="H138" s="825"/>
      <c r="I138" s="825"/>
      <c r="J138" s="825"/>
      <c r="K138" s="825"/>
      <c r="P138" s="825"/>
      <c r="Q138" s="825"/>
      <c r="R138" s="825"/>
      <c r="S138" s="825"/>
      <c r="T138" s="825"/>
      <c r="U138" s="825"/>
    </row>
    <row r="139" spans="1:29" x14ac:dyDescent="0.2">
      <c r="G139" s="825"/>
      <c r="H139" s="825"/>
      <c r="I139" s="825"/>
      <c r="J139" s="825"/>
      <c r="K139" s="825"/>
      <c r="P139" s="825"/>
      <c r="Q139" s="825"/>
      <c r="R139" s="825"/>
      <c r="S139" s="825"/>
      <c r="T139" s="825"/>
      <c r="U139" s="825"/>
    </row>
    <row r="140" spans="1:29" x14ac:dyDescent="0.2">
      <c r="P140" s="854"/>
      <c r="Q140" s="854"/>
      <c r="R140" s="854"/>
      <c r="S140" s="854"/>
      <c r="T140" s="854"/>
      <c r="U140" s="854"/>
    </row>
    <row r="142" spans="1:29" x14ac:dyDescent="0.2">
      <c r="G142" s="853"/>
      <c r="H142" s="853"/>
      <c r="I142" s="853"/>
      <c r="J142" s="853"/>
      <c r="K142" s="853"/>
      <c r="M142" s="640"/>
      <c r="P142" s="854"/>
    </row>
    <row r="143" spans="1:29" x14ac:dyDescent="0.2">
      <c r="G143" s="853"/>
      <c r="H143" s="853"/>
      <c r="I143" s="853"/>
      <c r="J143" s="853"/>
      <c r="K143" s="853"/>
      <c r="M143" s="855"/>
      <c r="P143" s="640"/>
    </row>
    <row r="144" spans="1:29" x14ac:dyDescent="0.2">
      <c r="G144" s="853"/>
      <c r="H144" s="853"/>
      <c r="I144" s="853"/>
      <c r="J144" s="853"/>
      <c r="K144" s="853"/>
      <c r="M144" s="855"/>
      <c r="P144" s="640"/>
    </row>
    <row r="146" spans="7:21" x14ac:dyDescent="0.2">
      <c r="G146" s="853"/>
      <c r="H146" s="853"/>
      <c r="I146" s="853"/>
      <c r="J146" s="853"/>
      <c r="K146" s="853"/>
      <c r="P146" s="640"/>
      <c r="Q146" s="855"/>
      <c r="R146" s="855"/>
      <c r="S146" s="855"/>
      <c r="T146" s="855"/>
    </row>
    <row r="149" spans="7:21" x14ac:dyDescent="0.2">
      <c r="G149" s="853"/>
      <c r="H149" s="853"/>
      <c r="I149" s="853"/>
      <c r="J149" s="853"/>
      <c r="K149" s="853"/>
      <c r="P149" s="854"/>
    </row>
    <row r="150" spans="7:21" x14ac:dyDescent="0.2">
      <c r="G150" s="853"/>
      <c r="H150" s="853"/>
      <c r="I150" s="853"/>
      <c r="J150" s="853"/>
      <c r="K150" s="853"/>
      <c r="P150" s="853"/>
    </row>
    <row r="151" spans="7:21" x14ac:dyDescent="0.2">
      <c r="G151" s="853"/>
      <c r="H151" s="853"/>
      <c r="I151" s="853"/>
      <c r="J151" s="853"/>
      <c r="K151" s="853"/>
      <c r="P151" s="853"/>
    </row>
    <row r="153" spans="7:21" x14ac:dyDescent="0.2">
      <c r="G153" s="853"/>
      <c r="H153" s="853"/>
      <c r="I153" s="853"/>
      <c r="J153" s="853"/>
      <c r="K153" s="853"/>
      <c r="P153" s="690"/>
      <c r="Q153" s="690"/>
      <c r="R153" s="690"/>
      <c r="S153" s="690"/>
      <c r="T153" s="690"/>
      <c r="U153" s="690"/>
    </row>
    <row r="155" spans="7:21" x14ac:dyDescent="0.2">
      <c r="G155" s="856"/>
      <c r="H155" s="856"/>
      <c r="I155" s="856"/>
      <c r="J155" s="856"/>
      <c r="K155" s="856"/>
      <c r="M155" s="739"/>
      <c r="Q155" s="854"/>
      <c r="R155" s="854"/>
      <c r="S155" s="854"/>
      <c r="T155" s="854"/>
      <c r="U155" s="854"/>
    </row>
    <row r="156" spans="7:21" x14ac:dyDescent="0.2">
      <c r="G156" s="856"/>
      <c r="H156" s="856"/>
      <c r="I156" s="856"/>
      <c r="J156" s="856"/>
      <c r="K156" s="856"/>
      <c r="M156" s="739"/>
      <c r="Q156" s="853"/>
      <c r="R156" s="853"/>
      <c r="S156" s="853"/>
      <c r="T156" s="853"/>
      <c r="U156" s="853"/>
    </row>
    <row r="157" spans="7:21" x14ac:dyDescent="0.2">
      <c r="G157" s="856"/>
      <c r="H157" s="856"/>
      <c r="I157" s="856"/>
      <c r="J157" s="856"/>
      <c r="K157" s="856"/>
      <c r="M157" s="739"/>
      <c r="Q157" s="853"/>
      <c r="R157" s="853"/>
      <c r="S157" s="853"/>
      <c r="T157" s="853"/>
      <c r="U157" s="853"/>
    </row>
    <row r="160" spans="7:21" x14ac:dyDescent="0.2">
      <c r="G160" s="853"/>
      <c r="H160" s="853"/>
      <c r="I160" s="853"/>
      <c r="J160" s="853"/>
      <c r="K160" s="853"/>
    </row>
  </sheetData>
  <mergeCells count="8">
    <mergeCell ref="B86:C86"/>
    <mergeCell ref="F86:J86"/>
    <mergeCell ref="A1:B1"/>
    <mergeCell ref="A3:B3"/>
    <mergeCell ref="A14:B14"/>
    <mergeCell ref="A45:B45"/>
    <mergeCell ref="A85:B85"/>
    <mergeCell ref="A39:B39"/>
  </mergeCells>
  <pageMargins left="0.7" right="0.7" top="0.75" bottom="0.75" header="0.3" footer="0.3"/>
  <pageSetup paperSize="9" orientation="portrait"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74895-B2AE-2C46-95FB-CC8A7E46E7EA}">
  <dimension ref="A1:BR117"/>
  <sheetViews>
    <sheetView zoomScale="83" zoomScaleNormal="111" workbookViewId="0">
      <selection activeCell="B19" sqref="B19"/>
    </sheetView>
  </sheetViews>
  <sheetFormatPr baseColWidth="10" defaultColWidth="10.83203125" defaultRowHeight="16" x14ac:dyDescent="0.2"/>
  <cols>
    <col min="1" max="1" width="49" style="531" bestFit="1" customWidth="1"/>
    <col min="2" max="2" width="29.83203125" style="531" customWidth="1"/>
    <col min="3" max="3" width="10.83203125" style="531"/>
    <col min="4" max="4" width="21.83203125" style="531" bestFit="1" customWidth="1"/>
    <col min="5" max="5" width="11.6640625" style="531" customWidth="1"/>
    <col min="6" max="7" width="10.83203125" style="531"/>
    <col min="8" max="8" width="12.5" style="531" bestFit="1" customWidth="1"/>
    <col min="9" max="9" width="9.5" style="531" customWidth="1"/>
    <col min="10" max="15" width="10.83203125" style="531"/>
    <col min="16" max="16" width="12" style="531" bestFit="1" customWidth="1"/>
    <col min="17" max="21" width="10.83203125" style="531"/>
    <col min="22" max="22" width="27.83203125" style="531" bestFit="1" customWidth="1"/>
    <col min="23" max="23" width="29" style="531" customWidth="1"/>
    <col min="24" max="45" width="10.83203125" style="531"/>
    <col min="46" max="46" width="15" style="531" customWidth="1"/>
    <col min="47" max="47" width="20.33203125" style="531" customWidth="1"/>
    <col min="48" max="16384" width="10.83203125" style="531"/>
  </cols>
  <sheetData>
    <row r="1" spans="1:31" x14ac:dyDescent="0.2">
      <c r="A1" s="1219" t="s">
        <v>404</v>
      </c>
      <c r="B1" s="1219"/>
      <c r="C1" s="1219"/>
      <c r="D1" s="1219"/>
      <c r="E1" s="1219"/>
      <c r="F1" s="1219"/>
      <c r="G1" s="1219"/>
      <c r="H1" s="1219"/>
      <c r="I1" s="1219"/>
      <c r="J1" s="1219"/>
      <c r="K1" s="1219"/>
    </row>
    <row r="2" spans="1:31" x14ac:dyDescent="0.2">
      <c r="A2" s="1219"/>
      <c r="B2" s="1219"/>
      <c r="C2" s="1219"/>
      <c r="D2" s="1219"/>
      <c r="E2" s="1219"/>
      <c r="F2" s="1219"/>
      <c r="G2" s="1219"/>
      <c r="H2" s="1219"/>
      <c r="I2" s="1219"/>
      <c r="J2" s="1219"/>
      <c r="K2" s="1219"/>
    </row>
    <row r="3" spans="1:31" s="532" customFormat="1" ht="17" thickBot="1" x14ac:dyDescent="0.25">
      <c r="A3" s="1220"/>
      <c r="B3" s="1220"/>
      <c r="C3" s="1220"/>
      <c r="D3" s="1220"/>
      <c r="E3" s="1220"/>
      <c r="F3" s="1220"/>
      <c r="G3" s="1220"/>
      <c r="H3" s="1220"/>
      <c r="I3" s="1220"/>
      <c r="J3" s="1220"/>
      <c r="K3" s="1220"/>
    </row>
    <row r="4" spans="1:31" ht="18" thickTop="1" thickBot="1" x14ac:dyDescent="0.25"/>
    <row r="5" spans="1:31" ht="31" x14ac:dyDescent="0.35">
      <c r="A5" s="534" t="s">
        <v>405</v>
      </c>
      <c r="D5" s="533"/>
      <c r="E5" s="508">
        <v>2019</v>
      </c>
      <c r="F5" s="508">
        <v>2020</v>
      </c>
      <c r="G5" s="508">
        <v>2021</v>
      </c>
      <c r="H5" s="509" t="s">
        <v>0</v>
      </c>
      <c r="I5" s="509" t="s">
        <v>1</v>
      </c>
      <c r="J5" s="509" t="s">
        <v>2</v>
      </c>
      <c r="K5" s="509" t="s">
        <v>3</v>
      </c>
      <c r="L5" s="509" t="s">
        <v>4</v>
      </c>
      <c r="M5" s="510" t="s">
        <v>5</v>
      </c>
      <c r="P5" s="603" t="s">
        <v>406</v>
      </c>
    </row>
    <row r="6" spans="1:31" x14ac:dyDescent="0.2">
      <c r="A6" s="531" t="s">
        <v>407</v>
      </c>
      <c r="D6" s="511" t="s">
        <v>408</v>
      </c>
      <c r="E6" s="507">
        <v>-601</v>
      </c>
      <c r="F6" s="507">
        <v>0</v>
      </c>
      <c r="G6" s="507">
        <v>0</v>
      </c>
      <c r="H6" s="507">
        <v>0</v>
      </c>
      <c r="I6" s="507">
        <v>0</v>
      </c>
      <c r="J6" s="507">
        <v>0</v>
      </c>
      <c r="K6" s="507">
        <v>0</v>
      </c>
      <c r="L6" s="507">
        <v>0</v>
      </c>
      <c r="M6" s="512">
        <v>0</v>
      </c>
    </row>
    <row r="7" spans="1:31" x14ac:dyDescent="0.2">
      <c r="A7" s="531" t="s">
        <v>409</v>
      </c>
      <c r="D7" s="511" t="s">
        <v>410</v>
      </c>
      <c r="E7" s="507">
        <v>-700</v>
      </c>
      <c r="F7" s="507">
        <v>0</v>
      </c>
      <c r="G7" s="507">
        <v>-537</v>
      </c>
      <c r="H7" s="507">
        <v>-374</v>
      </c>
      <c r="I7" s="507">
        <v>-1098</v>
      </c>
      <c r="J7" s="507">
        <v>-448</v>
      </c>
      <c r="K7" s="507">
        <v>-740</v>
      </c>
      <c r="L7" s="507">
        <v>-750</v>
      </c>
      <c r="M7" s="512">
        <v>-1020</v>
      </c>
    </row>
    <row r="8" spans="1:31" ht="17" thickBot="1" x14ac:dyDescent="0.25">
      <c r="A8" s="531" t="s">
        <v>411</v>
      </c>
      <c r="D8" s="511" t="s">
        <v>412</v>
      </c>
      <c r="E8" s="507">
        <v>-1206</v>
      </c>
      <c r="F8" s="507">
        <v>-426</v>
      </c>
      <c r="G8" s="507">
        <v>-846</v>
      </c>
      <c r="H8" s="507">
        <v>-915</v>
      </c>
      <c r="I8" s="507">
        <v>-1165</v>
      </c>
      <c r="J8" s="507">
        <v>-1301</v>
      </c>
      <c r="K8" s="507">
        <v>-1068</v>
      </c>
      <c r="L8" s="507">
        <v>-1024</v>
      </c>
      <c r="M8" s="512">
        <v>-1068</v>
      </c>
      <c r="V8" s="531" t="s">
        <v>413</v>
      </c>
      <c r="W8" s="531" t="s">
        <v>414</v>
      </c>
    </row>
    <row r="9" spans="1:31" x14ac:dyDescent="0.2">
      <c r="A9" s="531" t="s">
        <v>415</v>
      </c>
      <c r="D9" s="511" t="s">
        <v>416</v>
      </c>
      <c r="E9" s="507">
        <v>309</v>
      </c>
      <c r="F9" s="507">
        <v>26</v>
      </c>
      <c r="G9" s="507">
        <v>124</v>
      </c>
      <c r="H9" s="507">
        <v>89</v>
      </c>
      <c r="I9" s="507">
        <v>50</v>
      </c>
      <c r="J9" s="507">
        <v>8</v>
      </c>
      <c r="K9" s="507">
        <v>-66</v>
      </c>
      <c r="L9" s="507">
        <v>-183</v>
      </c>
      <c r="M9" s="512">
        <v>-374</v>
      </c>
      <c r="W9" s="531" t="s">
        <v>417</v>
      </c>
      <c r="X9" s="531" t="s">
        <v>418</v>
      </c>
      <c r="Z9" s="509" t="s">
        <v>0</v>
      </c>
      <c r="AA9" s="509" t="s">
        <v>1</v>
      </c>
      <c r="AB9" s="509" t="s">
        <v>2</v>
      </c>
      <c r="AC9" s="509" t="s">
        <v>3</v>
      </c>
      <c r="AD9" s="509" t="s">
        <v>4</v>
      </c>
      <c r="AE9" s="510" t="s">
        <v>5</v>
      </c>
    </row>
    <row r="10" spans="1:31" ht="17" thickBot="1" x14ac:dyDescent="0.25">
      <c r="D10" s="513" t="s">
        <v>419</v>
      </c>
      <c r="E10" s="514">
        <f>SUM(E6:E9)</f>
        <v>-2198</v>
      </c>
      <c r="F10" s="514">
        <f t="shared" ref="F10:M10" si="0">SUM(F6:F9)</f>
        <v>-400</v>
      </c>
      <c r="G10" s="514">
        <f t="shared" si="0"/>
        <v>-1259</v>
      </c>
      <c r="H10" s="514">
        <f t="shared" si="0"/>
        <v>-1200</v>
      </c>
      <c r="I10" s="514">
        <f t="shared" si="0"/>
        <v>-2213</v>
      </c>
      <c r="J10" s="514">
        <f t="shared" si="0"/>
        <v>-1741</v>
      </c>
      <c r="K10" s="514">
        <f t="shared" si="0"/>
        <v>-1874</v>
      </c>
      <c r="L10" s="514">
        <f t="shared" si="0"/>
        <v>-1957</v>
      </c>
      <c r="M10" s="515">
        <f t="shared" si="0"/>
        <v>-2462</v>
      </c>
      <c r="V10" s="531" t="s">
        <v>420</v>
      </c>
      <c r="W10" s="531">
        <v>587214</v>
      </c>
      <c r="X10" s="531">
        <v>627742</v>
      </c>
      <c r="Z10" s="592">
        <f>$W$10</f>
        <v>587214</v>
      </c>
      <c r="AA10" s="592">
        <f t="shared" ref="AA10:AE10" si="1">$W$10</f>
        <v>587214</v>
      </c>
      <c r="AB10" s="592">
        <f t="shared" si="1"/>
        <v>587214</v>
      </c>
      <c r="AC10" s="592">
        <f t="shared" si="1"/>
        <v>587214</v>
      </c>
      <c r="AD10" s="592">
        <f t="shared" si="1"/>
        <v>587214</v>
      </c>
      <c r="AE10" s="592">
        <f t="shared" si="1"/>
        <v>587214</v>
      </c>
    </row>
    <row r="11" spans="1:31" x14ac:dyDescent="0.2">
      <c r="A11" s="534" t="s">
        <v>421</v>
      </c>
      <c r="D11" s="531" t="s">
        <v>422</v>
      </c>
      <c r="E11" s="507">
        <f>E7+E6</f>
        <v>-1301</v>
      </c>
      <c r="F11" s="507">
        <f t="shared" ref="F11:M11" si="2">F7+F6</f>
        <v>0</v>
      </c>
      <c r="G11" s="507">
        <f t="shared" si="2"/>
        <v>-537</v>
      </c>
      <c r="H11" s="507">
        <f t="shared" si="2"/>
        <v>-374</v>
      </c>
      <c r="I11" s="507">
        <f t="shared" si="2"/>
        <v>-1098</v>
      </c>
      <c r="J11" s="507">
        <f t="shared" si="2"/>
        <v>-448</v>
      </c>
      <c r="K11" s="507">
        <f t="shared" si="2"/>
        <v>-740</v>
      </c>
      <c r="L11" s="507">
        <f t="shared" si="2"/>
        <v>-750</v>
      </c>
      <c r="M11" s="507">
        <f t="shared" si="2"/>
        <v>-1020</v>
      </c>
      <c r="V11" s="531" t="s">
        <v>423</v>
      </c>
      <c r="W11" s="531">
        <v>190542</v>
      </c>
      <c r="X11" s="531">
        <v>204615</v>
      </c>
      <c r="Z11" s="592">
        <f>$W$11</f>
        <v>190542</v>
      </c>
      <c r="AA11" s="592">
        <f t="shared" ref="AA11:AE11" si="3">$W$11</f>
        <v>190542</v>
      </c>
      <c r="AB11" s="592">
        <f t="shared" si="3"/>
        <v>190542</v>
      </c>
      <c r="AC11" s="592">
        <f t="shared" si="3"/>
        <v>190542</v>
      </c>
      <c r="AD11" s="592">
        <f t="shared" si="3"/>
        <v>190542</v>
      </c>
      <c r="AE11" s="592">
        <f t="shared" si="3"/>
        <v>190542</v>
      </c>
    </row>
    <row r="12" spans="1:31" ht="17" thickBot="1" x14ac:dyDescent="0.25">
      <c r="A12" s="531" t="s">
        <v>424</v>
      </c>
      <c r="V12" s="531" t="s">
        <v>425</v>
      </c>
      <c r="W12" s="531">
        <v>136135</v>
      </c>
      <c r="X12" s="531">
        <v>139113</v>
      </c>
      <c r="Z12" s="592">
        <f>$W$12+$W$13</f>
        <v>241009</v>
      </c>
      <c r="AA12" s="592">
        <f t="shared" ref="AA12:AE12" si="4">$W$12+$W$13</f>
        <v>241009</v>
      </c>
      <c r="AB12" s="592">
        <f t="shared" si="4"/>
        <v>241009</v>
      </c>
      <c r="AC12" s="592">
        <f t="shared" si="4"/>
        <v>241009</v>
      </c>
      <c r="AD12" s="592">
        <f t="shared" si="4"/>
        <v>241009</v>
      </c>
      <c r="AE12" s="592">
        <f t="shared" si="4"/>
        <v>241009</v>
      </c>
    </row>
    <row r="13" spans="1:31" ht="18" customHeight="1" x14ac:dyDescent="0.2">
      <c r="A13" s="531" t="s">
        <v>426</v>
      </c>
      <c r="D13" s="1221" t="s">
        <v>427</v>
      </c>
      <c r="E13" s="1223" t="s">
        <v>428</v>
      </c>
      <c r="F13" s="1225" t="s">
        <v>429</v>
      </c>
      <c r="G13" s="1225" t="s">
        <v>430</v>
      </c>
      <c r="H13" s="1225"/>
      <c r="I13" s="1225"/>
      <c r="J13" s="1225"/>
      <c r="K13" s="1225"/>
      <c r="L13" s="1227"/>
      <c r="V13" s="531" t="s">
        <v>431</v>
      </c>
      <c r="W13" s="531">
        <v>104874</v>
      </c>
      <c r="X13" s="531">
        <v>68521</v>
      </c>
      <c r="Z13" s="592">
        <f>SUM(Z10:Z12)</f>
        <v>1018765</v>
      </c>
      <c r="AA13" s="592">
        <f t="shared" ref="AA13:AE13" si="5">SUM(AA10:AA12)</f>
        <v>1018765</v>
      </c>
      <c r="AB13" s="592">
        <f t="shared" si="5"/>
        <v>1018765</v>
      </c>
      <c r="AC13" s="592">
        <f t="shared" si="5"/>
        <v>1018765</v>
      </c>
      <c r="AD13" s="592">
        <f t="shared" si="5"/>
        <v>1018765</v>
      </c>
      <c r="AE13" s="592">
        <f t="shared" si="5"/>
        <v>1018765</v>
      </c>
    </row>
    <row r="14" spans="1:31" ht="27" customHeight="1" x14ac:dyDescent="0.2">
      <c r="D14" s="1222"/>
      <c r="E14" s="1224"/>
      <c r="F14" s="1226"/>
      <c r="G14" s="544">
        <v>2022</v>
      </c>
      <c r="H14" s="544" t="s">
        <v>432</v>
      </c>
      <c r="I14" s="544" t="s">
        <v>433</v>
      </c>
      <c r="J14" s="544" t="s">
        <v>434</v>
      </c>
      <c r="K14" s="544" t="s">
        <v>435</v>
      </c>
      <c r="L14" s="553" t="s">
        <v>436</v>
      </c>
      <c r="Q14" s="506"/>
      <c r="V14" s="531" t="s">
        <v>437</v>
      </c>
      <c r="W14" s="531" t="s">
        <v>58</v>
      </c>
      <c r="X14" s="531">
        <v>6340</v>
      </c>
    </row>
    <row r="15" spans="1:31" s="534" customFormat="1" x14ac:dyDescent="0.2">
      <c r="A15" s="531" t="s">
        <v>438</v>
      </c>
      <c r="B15" s="531"/>
      <c r="C15" s="531"/>
      <c r="D15" s="554" t="s">
        <v>439</v>
      </c>
      <c r="E15" s="555">
        <f>SUM(E16:E22)</f>
        <v>249</v>
      </c>
      <c r="F15" s="555">
        <f>SUM(F16:F22)</f>
        <v>-15</v>
      </c>
      <c r="G15" s="555">
        <f>SUM(G16:G22)</f>
        <v>234</v>
      </c>
      <c r="H15" s="555">
        <f>SUM(H16)</f>
        <v>244</v>
      </c>
      <c r="I15" s="555">
        <f t="shared" ref="I15:L15" si="6">SUM(I16)</f>
        <v>223</v>
      </c>
      <c r="J15" s="555">
        <f t="shared" si="6"/>
        <v>237</v>
      </c>
      <c r="K15" s="555">
        <f t="shared" si="6"/>
        <v>234</v>
      </c>
      <c r="L15" s="555">
        <f t="shared" si="6"/>
        <v>246</v>
      </c>
      <c r="M15" s="545"/>
      <c r="N15" s="545"/>
      <c r="O15" s="545"/>
      <c r="P15" s="545"/>
      <c r="Q15" s="545"/>
      <c r="V15" s="531" t="s">
        <v>440</v>
      </c>
      <c r="W15" s="531">
        <v>127</v>
      </c>
      <c r="X15" s="531">
        <v>228</v>
      </c>
    </row>
    <row r="16" spans="1:31" x14ac:dyDescent="0.2">
      <c r="D16" s="557" t="s">
        <v>441</v>
      </c>
      <c r="E16" s="558">
        <v>46</v>
      </c>
      <c r="F16" s="558">
        <v>-6</v>
      </c>
      <c r="G16" s="550">
        <v>40</v>
      </c>
      <c r="H16" s="550">
        <v>244</v>
      </c>
      <c r="I16" s="550">
        <v>223</v>
      </c>
      <c r="J16" s="550">
        <v>237</v>
      </c>
      <c r="K16" s="550">
        <v>234</v>
      </c>
      <c r="L16" s="559">
        <v>246</v>
      </c>
      <c r="M16" s="535"/>
      <c r="N16" s="535"/>
      <c r="O16" s="535"/>
      <c r="P16" s="535"/>
      <c r="Q16" s="535"/>
      <c r="V16" s="531" t="s">
        <v>442</v>
      </c>
      <c r="W16" s="534">
        <f>SUM(W10:W15)</f>
        <v>1018892</v>
      </c>
      <c r="X16" s="534">
        <f>SUM(X10:X15)</f>
        <v>1046559</v>
      </c>
    </row>
    <row r="17" spans="1:23" x14ac:dyDescent="0.2">
      <c r="D17" s="557" t="s">
        <v>443</v>
      </c>
      <c r="E17" s="558">
        <v>141</v>
      </c>
      <c r="F17" s="558">
        <v>-13</v>
      </c>
      <c r="G17" s="550">
        <v>128</v>
      </c>
      <c r="H17" s="550"/>
      <c r="I17" s="550"/>
      <c r="J17" s="550"/>
      <c r="K17" s="550"/>
      <c r="L17" s="559"/>
      <c r="M17" s="535"/>
      <c r="N17" s="535"/>
      <c r="O17" s="535"/>
      <c r="P17" s="535"/>
      <c r="Q17" s="535"/>
    </row>
    <row r="18" spans="1:23" x14ac:dyDescent="0.2">
      <c r="D18" s="557" t="s">
        <v>444</v>
      </c>
      <c r="E18" s="550">
        <v>13</v>
      </c>
      <c r="F18" s="550">
        <v>4</v>
      </c>
      <c r="G18" s="550">
        <v>17</v>
      </c>
      <c r="H18" s="550"/>
      <c r="I18" s="550"/>
      <c r="J18" s="550"/>
      <c r="K18" s="550"/>
      <c r="L18" s="559"/>
      <c r="M18" s="535"/>
      <c r="N18" s="535"/>
      <c r="O18" s="535"/>
      <c r="P18" s="535"/>
      <c r="Q18" s="535"/>
      <c r="V18" s="589" t="s">
        <v>445</v>
      </c>
      <c r="W18" s="589">
        <v>162468</v>
      </c>
    </row>
    <row r="19" spans="1:23" x14ac:dyDescent="0.2">
      <c r="D19" s="557" t="s">
        <v>446</v>
      </c>
      <c r="E19" s="550">
        <v>49</v>
      </c>
      <c r="F19" s="550"/>
      <c r="G19" s="550">
        <v>49</v>
      </c>
      <c r="H19" s="550"/>
      <c r="I19" s="550"/>
      <c r="J19" s="550"/>
      <c r="K19" s="550"/>
      <c r="L19" s="559"/>
      <c r="M19" s="535"/>
      <c r="N19" s="535"/>
      <c r="O19" s="535"/>
      <c r="P19" s="535"/>
      <c r="Q19" s="535"/>
      <c r="V19" s="531" t="s">
        <v>447</v>
      </c>
      <c r="W19" s="531">
        <f>528097</f>
        <v>528097</v>
      </c>
    </row>
    <row r="20" spans="1:23" x14ac:dyDescent="0.2">
      <c r="D20" s="557" t="s">
        <v>448</v>
      </c>
      <c r="E20" s="550"/>
      <c r="F20" s="550"/>
      <c r="G20" s="550"/>
      <c r="H20" s="550"/>
      <c r="I20" s="550"/>
      <c r="J20" s="550"/>
      <c r="K20" s="550"/>
      <c r="L20" s="559"/>
      <c r="M20" s="535"/>
      <c r="N20" s="535"/>
      <c r="O20" s="535"/>
      <c r="P20" s="535"/>
      <c r="Q20" s="535"/>
      <c r="W20" s="531">
        <f>W18/W19</f>
        <v>0.30764802678295844</v>
      </c>
    </row>
    <row r="21" spans="1:23" x14ac:dyDescent="0.2">
      <c r="D21" s="557" t="s">
        <v>449</v>
      </c>
      <c r="E21" s="550"/>
      <c r="F21" s="550"/>
      <c r="G21" s="550"/>
      <c r="H21" s="605">
        <f>ABS(H7/H33)</f>
        <v>23.375</v>
      </c>
      <c r="I21" s="605">
        <f t="shared" ref="I21:L21" si="7">ABS(I7/I33)</f>
        <v>52.285714285714285</v>
      </c>
      <c r="J21" s="605">
        <f t="shared" si="7"/>
        <v>32</v>
      </c>
      <c r="K21" s="605">
        <f t="shared" si="7"/>
        <v>740</v>
      </c>
      <c r="L21" s="605">
        <f t="shared" si="7"/>
        <v>62.5</v>
      </c>
      <c r="M21" s="535"/>
      <c r="N21" s="535"/>
      <c r="O21" s="535"/>
      <c r="P21" s="535"/>
      <c r="Q21" s="535"/>
      <c r="V21" s="531" t="s">
        <v>450</v>
      </c>
      <c r="W21" s="531">
        <f>W18+W20*W13</f>
        <v>194732.27916083598</v>
      </c>
    </row>
    <row r="22" spans="1:23" ht="17" thickBot="1" x14ac:dyDescent="0.25">
      <c r="D22" s="560" t="s">
        <v>451</v>
      </c>
      <c r="E22" s="549"/>
      <c r="F22" s="549"/>
      <c r="G22" s="549"/>
      <c r="H22" s="549">
        <f>H15-G15</f>
        <v>10</v>
      </c>
      <c r="I22" s="549">
        <f t="shared" ref="I22:L22" si="8">I15-H15</f>
        <v>-21</v>
      </c>
      <c r="J22" s="549">
        <f t="shared" si="8"/>
        <v>14</v>
      </c>
      <c r="K22" s="549">
        <f t="shared" si="8"/>
        <v>-3</v>
      </c>
      <c r="L22" s="561">
        <f t="shared" si="8"/>
        <v>12</v>
      </c>
      <c r="M22" s="548"/>
      <c r="N22" s="547"/>
      <c r="O22" s="535"/>
      <c r="P22" s="535"/>
      <c r="Q22" s="535"/>
    </row>
    <row r="23" spans="1:23" s="534" customFormat="1" ht="17" thickTop="1" x14ac:dyDescent="0.2">
      <c r="A23" s="531"/>
      <c r="B23" s="531"/>
      <c r="C23" s="531"/>
      <c r="D23" s="554" t="s">
        <v>452</v>
      </c>
      <c r="E23" s="555">
        <f>SUM(E24:E28)</f>
        <v>79</v>
      </c>
      <c r="F23" s="555">
        <f>SUM(F24:F28)</f>
        <v>-23</v>
      </c>
      <c r="G23" s="555">
        <f>SUM(G24:G28)</f>
        <v>56</v>
      </c>
      <c r="H23" s="555">
        <v>56</v>
      </c>
      <c r="I23" s="555">
        <v>59</v>
      </c>
      <c r="J23" s="555">
        <v>59</v>
      </c>
      <c r="K23" s="555">
        <v>61</v>
      </c>
      <c r="L23" s="556">
        <v>61</v>
      </c>
      <c r="M23" s="546"/>
      <c r="N23" s="546"/>
      <c r="O23" s="546"/>
      <c r="P23" s="546"/>
      <c r="Q23" s="546"/>
    </row>
    <row r="24" spans="1:23" x14ac:dyDescent="0.2">
      <c r="D24" s="557" t="s">
        <v>453</v>
      </c>
      <c r="E24" s="558">
        <v>13</v>
      </c>
      <c r="F24" s="550">
        <v>-13</v>
      </c>
      <c r="H24" s="550"/>
      <c r="I24" s="550"/>
      <c r="J24" s="550"/>
      <c r="K24" s="550"/>
      <c r="L24" s="559"/>
      <c r="M24" s="535"/>
      <c r="N24" s="535"/>
      <c r="O24" s="535"/>
      <c r="P24" s="535"/>
      <c r="Q24" s="535"/>
    </row>
    <row r="25" spans="1:23" x14ac:dyDescent="0.2">
      <c r="D25" s="557" t="s">
        <v>454</v>
      </c>
      <c r="E25" s="558">
        <v>30</v>
      </c>
      <c r="F25" s="558">
        <v>-15</v>
      </c>
      <c r="G25" s="550">
        <v>15</v>
      </c>
      <c r="H25" s="558"/>
      <c r="I25" s="558"/>
      <c r="J25" s="558"/>
      <c r="K25" s="550"/>
      <c r="L25" s="559"/>
      <c r="M25" s="536"/>
      <c r="N25" s="536"/>
      <c r="O25" s="536"/>
      <c r="P25" s="536"/>
      <c r="Q25" s="506"/>
    </row>
    <row r="26" spans="1:23" x14ac:dyDescent="0.2">
      <c r="D26" s="557" t="s">
        <v>455</v>
      </c>
      <c r="E26" s="558">
        <v>10</v>
      </c>
      <c r="F26" s="550"/>
      <c r="G26" s="558">
        <v>10</v>
      </c>
      <c r="H26" s="550"/>
      <c r="I26" s="550"/>
      <c r="J26" s="550"/>
      <c r="K26" s="550"/>
      <c r="L26" s="559"/>
      <c r="M26" s="535"/>
      <c r="N26" s="535"/>
      <c r="O26" s="535"/>
      <c r="P26" s="535"/>
      <c r="Q26" s="506"/>
    </row>
    <row r="27" spans="1:23" x14ac:dyDescent="0.2">
      <c r="D27" s="557" t="s">
        <v>456</v>
      </c>
      <c r="E27" s="558">
        <v>10</v>
      </c>
      <c r="F27" s="558"/>
      <c r="G27" s="550">
        <v>10</v>
      </c>
      <c r="H27" s="558"/>
      <c r="I27" s="558"/>
      <c r="J27" s="558"/>
      <c r="K27" s="558"/>
      <c r="L27" s="562"/>
      <c r="M27" s="506"/>
      <c r="N27" s="506"/>
      <c r="O27" s="506"/>
      <c r="P27" s="506"/>
      <c r="Q27" s="506"/>
    </row>
    <row r="28" spans="1:23" x14ac:dyDescent="0.2">
      <c r="D28" s="557" t="s">
        <v>457</v>
      </c>
      <c r="E28" s="558">
        <v>16</v>
      </c>
      <c r="F28" s="563">
        <v>5</v>
      </c>
      <c r="G28" s="558">
        <v>21</v>
      </c>
      <c r="H28" s="563"/>
      <c r="I28" s="563"/>
      <c r="J28" s="563"/>
      <c r="K28" s="563"/>
      <c r="L28" s="564"/>
      <c r="M28" s="538"/>
      <c r="N28" s="538"/>
      <c r="O28" s="538"/>
      <c r="P28" s="538"/>
      <c r="Q28" s="506"/>
    </row>
    <row r="29" spans="1:23" x14ac:dyDescent="0.2">
      <c r="D29" s="557" t="s">
        <v>451</v>
      </c>
      <c r="E29" s="558"/>
      <c r="F29" s="563"/>
      <c r="G29" s="558"/>
      <c r="H29" s="563">
        <f>H23-G23</f>
        <v>0</v>
      </c>
      <c r="I29" s="563">
        <f t="shared" ref="I29:L29" si="9">I23-H23</f>
        <v>3</v>
      </c>
      <c r="J29" s="563">
        <f t="shared" si="9"/>
        <v>0</v>
      </c>
      <c r="K29" s="563">
        <f t="shared" si="9"/>
        <v>2</v>
      </c>
      <c r="L29" s="564">
        <f t="shared" si="9"/>
        <v>0</v>
      </c>
      <c r="M29" s="538"/>
      <c r="N29" s="538"/>
      <c r="O29" s="538"/>
      <c r="P29" s="538"/>
      <c r="Q29" s="506"/>
    </row>
    <row r="30" spans="1:23" s="534" customFormat="1" x14ac:dyDescent="0.2">
      <c r="A30" s="531"/>
      <c r="B30" s="531"/>
      <c r="C30" s="531"/>
      <c r="D30" s="565" t="s">
        <v>458</v>
      </c>
      <c r="E30" s="552">
        <f>E15+E23</f>
        <v>328</v>
      </c>
      <c r="F30" s="552">
        <f>SUM(F24:F28,F16:F22)</f>
        <v>-38</v>
      </c>
      <c r="G30" s="552">
        <f t="shared" ref="G30:L30" si="10">G15+G23</f>
        <v>290</v>
      </c>
      <c r="H30" s="552">
        <f t="shared" si="10"/>
        <v>300</v>
      </c>
      <c r="I30" s="552">
        <f t="shared" si="10"/>
        <v>282</v>
      </c>
      <c r="J30" s="552">
        <f t="shared" si="10"/>
        <v>296</v>
      </c>
      <c r="K30" s="552">
        <f t="shared" si="10"/>
        <v>295</v>
      </c>
      <c r="L30" s="566">
        <f t="shared" si="10"/>
        <v>307</v>
      </c>
      <c r="M30" s="535"/>
      <c r="N30" s="535"/>
      <c r="O30" s="535"/>
      <c r="P30" s="535"/>
      <c r="Q30" s="535"/>
      <c r="R30" s="535"/>
    </row>
    <row r="31" spans="1:23" x14ac:dyDescent="0.2">
      <c r="D31" s="557" t="s">
        <v>459</v>
      </c>
      <c r="E31" s="558">
        <v>12</v>
      </c>
      <c r="F31" s="558">
        <v>4</v>
      </c>
      <c r="G31" s="558">
        <v>16</v>
      </c>
      <c r="H31" s="558">
        <f>H32-H30</f>
        <v>22</v>
      </c>
      <c r="I31" s="558">
        <f t="shared" ref="I31:L31" si="11">I32-I30</f>
        <v>19</v>
      </c>
      <c r="J31" s="558">
        <f t="shared" si="11"/>
        <v>19</v>
      </c>
      <c r="K31" s="558">
        <f t="shared" si="11"/>
        <v>19</v>
      </c>
      <c r="L31" s="562">
        <f t="shared" si="11"/>
        <v>19</v>
      </c>
      <c r="M31" s="535"/>
      <c r="N31" s="535"/>
      <c r="O31" s="535"/>
      <c r="P31" s="535"/>
      <c r="Q31" s="535"/>
      <c r="R31" s="535"/>
    </row>
    <row r="32" spans="1:23" ht="17" thickBot="1" x14ac:dyDescent="0.25">
      <c r="D32" s="567" t="s">
        <v>460</v>
      </c>
      <c r="E32" s="551">
        <f>SUM(E30:E31)</f>
        <v>340</v>
      </c>
      <c r="F32" s="551">
        <f t="shared" ref="F32:G32" si="12">SUM(F30:F31)</f>
        <v>-34</v>
      </c>
      <c r="G32" s="551">
        <f t="shared" si="12"/>
        <v>306</v>
      </c>
      <c r="H32" s="551">
        <v>322</v>
      </c>
      <c r="I32" s="551">
        <v>301</v>
      </c>
      <c r="J32" s="551">
        <v>315</v>
      </c>
      <c r="K32" s="551">
        <v>314</v>
      </c>
      <c r="L32" s="568">
        <v>326</v>
      </c>
      <c r="M32" s="535"/>
      <c r="N32" s="535"/>
      <c r="O32" s="535"/>
      <c r="P32" s="535"/>
      <c r="Q32" s="535"/>
      <c r="R32" s="535"/>
      <c r="S32" s="506"/>
      <c r="T32" s="506"/>
    </row>
    <row r="33" spans="4:47" ht="17" thickTop="1" x14ac:dyDescent="0.2">
      <c r="D33" s="554" t="s">
        <v>451</v>
      </c>
      <c r="E33" s="555"/>
      <c r="F33" s="555"/>
      <c r="G33" s="555"/>
      <c r="H33" s="555">
        <f>H32-G32</f>
        <v>16</v>
      </c>
      <c r="I33" s="555">
        <f t="shared" ref="I33:L33" si="13">I32-H32</f>
        <v>-21</v>
      </c>
      <c r="J33" s="555">
        <f t="shared" si="13"/>
        <v>14</v>
      </c>
      <c r="K33" s="555">
        <f t="shared" si="13"/>
        <v>-1</v>
      </c>
      <c r="L33" s="556">
        <f t="shared" si="13"/>
        <v>12</v>
      </c>
      <c r="M33" s="535"/>
      <c r="N33" s="535"/>
      <c r="O33" s="535"/>
      <c r="P33" s="535"/>
      <c r="Q33" s="535"/>
      <c r="R33" s="535"/>
      <c r="S33" s="506"/>
      <c r="T33" s="506"/>
    </row>
    <row r="34" spans="4:47" x14ac:dyDescent="0.2">
      <c r="D34" s="557" t="s">
        <v>461</v>
      </c>
      <c r="E34" s="569"/>
      <c r="F34" s="569"/>
      <c r="G34" s="569"/>
      <c r="H34" s="569"/>
      <c r="I34" s="569"/>
      <c r="J34" s="569"/>
      <c r="K34" s="569"/>
      <c r="L34" s="570"/>
      <c r="M34" s="535"/>
      <c r="N34" s="535"/>
      <c r="O34" s="535"/>
      <c r="P34" s="535"/>
      <c r="Q34" s="535"/>
      <c r="R34" s="535"/>
      <c r="S34" s="506"/>
      <c r="T34" s="506"/>
    </row>
    <row r="35" spans="4:47" x14ac:dyDescent="0.2">
      <c r="D35" s="557" t="s">
        <v>462</v>
      </c>
      <c r="E35" s="572"/>
      <c r="F35" s="572">
        <v>-6</v>
      </c>
      <c r="G35" s="572"/>
      <c r="H35" s="572"/>
      <c r="I35" s="572"/>
      <c r="J35" s="572"/>
      <c r="K35" s="572"/>
      <c r="L35" s="573"/>
      <c r="M35" s="535"/>
      <c r="N35" s="535"/>
      <c r="O35" s="535"/>
      <c r="P35" s="535"/>
      <c r="Q35" s="535"/>
      <c r="R35" s="535"/>
      <c r="S35" s="506"/>
      <c r="T35" s="506"/>
    </row>
    <row r="36" spans="4:47" ht="17" thickBot="1" x14ac:dyDescent="0.25">
      <c r="D36" s="571" t="s">
        <v>463</v>
      </c>
      <c r="E36" s="574">
        <f>E32+SUM(E34:E35)</f>
        <v>340</v>
      </c>
      <c r="F36" s="574">
        <f t="shared" ref="F36:L36" si="14">F32+SUM(F34:F35)</f>
        <v>-40</v>
      </c>
      <c r="G36" s="574">
        <f t="shared" si="14"/>
        <v>306</v>
      </c>
      <c r="H36" s="574">
        <f t="shared" si="14"/>
        <v>322</v>
      </c>
      <c r="I36" s="574">
        <f t="shared" si="14"/>
        <v>301</v>
      </c>
      <c r="J36" s="574">
        <f t="shared" si="14"/>
        <v>315</v>
      </c>
      <c r="K36" s="574">
        <f t="shared" si="14"/>
        <v>314</v>
      </c>
      <c r="L36" s="575">
        <f t="shared" si="14"/>
        <v>326</v>
      </c>
      <c r="M36" s="535"/>
      <c r="N36" s="535"/>
      <c r="O36" s="535"/>
      <c r="P36" s="535"/>
      <c r="Q36" s="535"/>
      <c r="R36" s="535"/>
      <c r="S36" s="506"/>
      <c r="T36" s="506"/>
    </row>
    <row r="37" spans="4:47" x14ac:dyDescent="0.2">
      <c r="D37" s="537"/>
      <c r="E37" s="539"/>
      <c r="F37" s="539"/>
      <c r="G37" s="539"/>
      <c r="H37" s="539"/>
      <c r="I37" s="539"/>
      <c r="J37" s="539"/>
      <c r="K37" s="539"/>
      <c r="L37" s="539"/>
      <c r="M37" s="535"/>
      <c r="N37" s="535"/>
      <c r="O37" s="535"/>
      <c r="P37" s="535"/>
      <c r="Q37" s="535"/>
      <c r="R37" s="535"/>
      <c r="S37" s="506"/>
      <c r="T37" s="506"/>
    </row>
    <row r="38" spans="4:47" x14ac:dyDescent="0.2">
      <c r="D38" s="539"/>
      <c r="E38" s="539"/>
      <c r="F38" s="539"/>
      <c r="G38" s="539"/>
      <c r="H38" s="539"/>
      <c r="I38" s="539"/>
      <c r="J38" s="539"/>
      <c r="K38" s="539"/>
      <c r="L38" s="539"/>
      <c r="M38" s="539"/>
      <c r="N38" s="539"/>
      <c r="O38" s="539"/>
      <c r="P38" s="539"/>
      <c r="Q38" s="506"/>
      <c r="R38" s="506"/>
      <c r="S38" s="506"/>
      <c r="T38" s="506"/>
    </row>
    <row r="39" spans="4:47" x14ac:dyDescent="0.2">
      <c r="D39" s="540"/>
      <c r="E39" s="541"/>
      <c r="F39" s="541"/>
      <c r="G39" s="541"/>
      <c r="H39" s="541"/>
      <c r="I39" s="541"/>
      <c r="J39" s="541"/>
      <c r="K39" s="541"/>
      <c r="L39" s="541"/>
      <c r="M39" s="541"/>
      <c r="N39" s="541"/>
      <c r="O39" s="541"/>
      <c r="P39" s="541"/>
      <c r="Q39" s="506"/>
      <c r="R39" s="506"/>
      <c r="S39" s="506"/>
      <c r="T39" s="506"/>
    </row>
    <row r="40" spans="4:47" x14ac:dyDescent="0.2">
      <c r="D40" s="506"/>
      <c r="E40" s="506"/>
      <c r="F40" s="506"/>
      <c r="G40" s="506"/>
      <c r="H40" s="506"/>
      <c r="I40" s="506"/>
      <c r="J40" s="506"/>
      <c r="K40" s="506"/>
      <c r="L40" s="506"/>
      <c r="M40" s="506"/>
      <c r="N40" s="506"/>
      <c r="O40" s="506"/>
      <c r="P40" s="506"/>
      <c r="Q40" s="506"/>
      <c r="R40" s="506"/>
      <c r="S40" s="506"/>
      <c r="T40" s="506"/>
    </row>
    <row r="41" spans="4:47" x14ac:dyDescent="0.2">
      <c r="D41" s="506"/>
      <c r="F41" s="506"/>
      <c r="G41" s="506"/>
      <c r="H41" s="506"/>
      <c r="I41" s="506"/>
      <c r="J41" s="506"/>
      <c r="K41" s="506"/>
      <c r="L41" s="506"/>
      <c r="M41" s="506"/>
      <c r="N41" s="506"/>
      <c r="O41" s="506"/>
      <c r="P41" s="506"/>
      <c r="Q41" s="506"/>
      <c r="R41" s="506"/>
      <c r="S41" s="506"/>
      <c r="T41" s="506"/>
    </row>
    <row r="42" spans="4:47" x14ac:dyDescent="0.2">
      <c r="D42" s="506"/>
      <c r="F42" s="542"/>
      <c r="G42" s="506"/>
      <c r="H42" s="506"/>
      <c r="I42" s="506"/>
      <c r="J42" s="506"/>
      <c r="K42" s="506"/>
      <c r="L42" s="506"/>
      <c r="M42" s="506"/>
      <c r="N42" s="506"/>
      <c r="O42" s="506"/>
      <c r="P42" s="506"/>
      <c r="Q42" s="506"/>
      <c r="R42" s="506"/>
      <c r="S42" s="506"/>
      <c r="T42" s="506"/>
    </row>
    <row r="43" spans="4:47" x14ac:dyDescent="0.2">
      <c r="D43" s="537"/>
      <c r="F43" s="506"/>
      <c r="G43" s="506"/>
      <c r="H43" s="506"/>
      <c r="I43" s="506"/>
      <c r="J43" s="506"/>
      <c r="K43" s="506"/>
      <c r="L43" s="506"/>
      <c r="M43" s="506"/>
      <c r="N43" s="506"/>
      <c r="O43" s="506"/>
      <c r="P43" s="506"/>
      <c r="Q43" s="506"/>
      <c r="R43" s="506"/>
      <c r="S43" s="506"/>
      <c r="T43" s="506"/>
    </row>
    <row r="44" spans="4:47" x14ac:dyDescent="0.2">
      <c r="D44" s="543"/>
      <c r="F44" s="506"/>
      <c r="G44" s="506"/>
      <c r="H44" s="506"/>
      <c r="I44" s="506"/>
      <c r="J44" s="506"/>
      <c r="K44" s="506"/>
      <c r="L44" s="506"/>
      <c r="M44" s="506"/>
      <c r="N44" s="506"/>
      <c r="O44" s="506"/>
      <c r="P44" s="506"/>
      <c r="Q44" s="506"/>
      <c r="R44" s="506"/>
      <c r="S44" s="506"/>
      <c r="T44" s="506"/>
    </row>
    <row r="45" spans="4:47" x14ac:dyDescent="0.2">
      <c r="D45" s="506"/>
      <c r="F45" s="506"/>
      <c r="G45" s="506"/>
      <c r="H45" s="506"/>
      <c r="I45" s="506"/>
      <c r="J45" s="506"/>
      <c r="K45" s="506"/>
      <c r="L45" s="506"/>
      <c r="M45" s="506"/>
      <c r="N45" s="506"/>
      <c r="O45" s="506"/>
      <c r="P45" s="506"/>
      <c r="Q45" s="506"/>
      <c r="R45" s="506"/>
      <c r="S45" s="506"/>
      <c r="T45" s="506"/>
      <c r="AU45" s="531">
        <v>20</v>
      </c>
    </row>
    <row r="46" spans="4:47" x14ac:dyDescent="0.2">
      <c r="D46" s="540"/>
      <c r="F46" s="506"/>
      <c r="G46" s="506"/>
      <c r="H46" s="506"/>
      <c r="I46" s="506"/>
      <c r="J46" s="506"/>
      <c r="K46" s="506"/>
      <c r="L46" s="506"/>
      <c r="M46" s="506"/>
      <c r="N46" s="506"/>
      <c r="O46" s="506"/>
      <c r="P46" s="506"/>
      <c r="Q46" s="506"/>
      <c r="R46" s="506"/>
      <c r="S46" s="506"/>
      <c r="T46" s="506"/>
    </row>
    <row r="47" spans="4:47" x14ac:dyDescent="0.2">
      <c r="D47" s="506"/>
      <c r="E47" s="506"/>
      <c r="F47" s="506"/>
      <c r="G47" s="506"/>
      <c r="H47" s="506"/>
      <c r="I47" s="506"/>
      <c r="J47" s="506"/>
      <c r="K47" s="506"/>
      <c r="L47" s="506"/>
      <c r="M47" s="506"/>
      <c r="N47" s="506"/>
      <c r="O47" s="506"/>
      <c r="P47" s="506"/>
      <c r="Q47" s="506"/>
      <c r="R47" s="506"/>
      <c r="S47" s="506"/>
      <c r="T47" s="506"/>
    </row>
    <row r="48" spans="4:47" x14ac:dyDescent="0.2">
      <c r="D48" s="506"/>
      <c r="E48" s="506"/>
      <c r="F48" s="506"/>
      <c r="G48" s="506"/>
      <c r="H48" s="506"/>
      <c r="I48" s="506"/>
      <c r="J48" s="506"/>
      <c r="K48" s="506"/>
      <c r="L48" s="506"/>
      <c r="M48" s="506"/>
      <c r="N48" s="506"/>
      <c r="O48" s="506"/>
      <c r="P48" s="506"/>
      <c r="Q48" s="506"/>
      <c r="R48" s="506"/>
      <c r="S48" s="506"/>
      <c r="T48" s="506"/>
    </row>
    <row r="49" spans="4:58" x14ac:dyDescent="0.2">
      <c r="D49" s="506"/>
      <c r="E49" s="506"/>
      <c r="F49" s="506"/>
      <c r="G49" s="506"/>
      <c r="H49" s="506"/>
      <c r="I49" s="506"/>
      <c r="J49" s="506"/>
      <c r="K49" s="506"/>
      <c r="L49" s="506"/>
      <c r="M49" s="506"/>
      <c r="N49" s="506"/>
      <c r="O49" s="506"/>
      <c r="P49" s="506"/>
      <c r="Q49" s="506"/>
      <c r="R49" s="506"/>
      <c r="S49" s="506"/>
      <c r="T49" s="506"/>
      <c r="AY49" s="531" t="s">
        <v>464</v>
      </c>
      <c r="AZ49" s="531" t="s">
        <v>465</v>
      </c>
      <c r="BA49" s="531" t="s">
        <v>466</v>
      </c>
      <c r="BB49" s="531" t="s">
        <v>467</v>
      </c>
      <c r="BC49" s="531" t="s">
        <v>468</v>
      </c>
      <c r="BD49" s="531" t="s">
        <v>469</v>
      </c>
      <c r="BE49" s="531" t="s">
        <v>470</v>
      </c>
      <c r="BF49" s="531" t="s">
        <v>471</v>
      </c>
    </row>
    <row r="51" spans="4:58" x14ac:dyDescent="0.2">
      <c r="AX51" s="531">
        <v>400000</v>
      </c>
    </row>
    <row r="52" spans="4:58" x14ac:dyDescent="0.2">
      <c r="AS52" s="531" t="s">
        <v>468</v>
      </c>
      <c r="AT52" s="531" t="s">
        <v>469</v>
      </c>
      <c r="AU52" s="531" t="s">
        <v>470</v>
      </c>
      <c r="AV52" s="531" t="s">
        <v>471</v>
      </c>
      <c r="AW52" s="531" t="s">
        <v>472</v>
      </c>
      <c r="AX52" s="531" t="s">
        <v>473</v>
      </c>
    </row>
    <row r="53" spans="4:58" ht="17" thickBot="1" x14ac:dyDescent="0.25">
      <c r="AX53" s="531" t="s">
        <v>474</v>
      </c>
    </row>
    <row r="54" spans="4:58" ht="17" thickBot="1" x14ac:dyDescent="0.25">
      <c r="X54" s="1217" t="s">
        <v>475</v>
      </c>
      <c r="Y54" s="1218"/>
      <c r="Z54" s="1218"/>
      <c r="AA54" s="1218"/>
      <c r="AB54" s="1218"/>
      <c r="AC54" s="1218"/>
      <c r="AD54" s="1218"/>
      <c r="AE54" s="1218"/>
      <c r="AF54" s="1218"/>
      <c r="AG54" s="1218"/>
      <c r="AH54" s="1217" t="s">
        <v>476</v>
      </c>
      <c r="AI54" s="1218"/>
      <c r="AJ54" s="1218"/>
      <c r="AK54" s="1218"/>
      <c r="AL54" s="1218"/>
      <c r="AM54" s="1218"/>
      <c r="AN54" s="1218"/>
      <c r="AO54" s="1218"/>
      <c r="AP54" s="1218"/>
      <c r="AQ54" s="1218"/>
      <c r="AR54" s="1217" t="s">
        <v>477</v>
      </c>
      <c r="AS54" s="1218"/>
      <c r="AT54" s="1218"/>
      <c r="AU54" s="1218"/>
      <c r="AV54" s="1218"/>
      <c r="AW54" s="1218"/>
      <c r="AX54" s="1218"/>
      <c r="AY54" s="1218"/>
      <c r="AZ54" s="1218"/>
      <c r="BA54" s="1218"/>
    </row>
    <row r="55" spans="4:58" x14ac:dyDescent="0.2">
      <c r="X55" s="593">
        <v>2018</v>
      </c>
      <c r="Y55" s="555">
        <v>2019</v>
      </c>
      <c r="Z55" s="555">
        <v>2020</v>
      </c>
      <c r="AA55" s="591">
        <v>2021</v>
      </c>
      <c r="AB55" s="590" t="s">
        <v>0</v>
      </c>
      <c r="AC55" s="590" t="s">
        <v>1</v>
      </c>
      <c r="AD55" s="590" t="s">
        <v>2</v>
      </c>
      <c r="AE55" s="590" t="s">
        <v>3</v>
      </c>
      <c r="AF55" s="590" t="s">
        <v>4</v>
      </c>
      <c r="AG55" s="590" t="s">
        <v>5</v>
      </c>
      <c r="AH55" s="593">
        <v>2018</v>
      </c>
      <c r="AI55" s="555">
        <v>2019</v>
      </c>
      <c r="AJ55" s="555">
        <v>2020</v>
      </c>
      <c r="AK55" s="591">
        <v>2021</v>
      </c>
      <c r="AL55" s="590" t="s">
        <v>0</v>
      </c>
      <c r="AM55" s="590" t="s">
        <v>1</v>
      </c>
      <c r="AN55" s="590" t="s">
        <v>2</v>
      </c>
      <c r="AO55" s="590" t="s">
        <v>3</v>
      </c>
      <c r="AP55" s="590" t="s">
        <v>4</v>
      </c>
      <c r="AQ55" s="590" t="s">
        <v>5</v>
      </c>
      <c r="AR55" s="555">
        <v>2018</v>
      </c>
      <c r="AS55" s="555">
        <v>2019</v>
      </c>
      <c r="AT55" s="555">
        <v>2020</v>
      </c>
      <c r="AU55" s="555">
        <v>2021</v>
      </c>
      <c r="AV55" s="590" t="s">
        <v>0</v>
      </c>
      <c r="AW55" s="590" t="s">
        <v>1</v>
      </c>
      <c r="AX55" s="590" t="s">
        <v>2</v>
      </c>
      <c r="AY55" s="590" t="s">
        <v>3</v>
      </c>
      <c r="AZ55" s="590" t="s">
        <v>4</v>
      </c>
      <c r="BA55" s="590" t="s">
        <v>5</v>
      </c>
    </row>
    <row r="56" spans="4:58" x14ac:dyDescent="0.2">
      <c r="W56" s="604" t="s">
        <v>478</v>
      </c>
      <c r="X56" s="594">
        <v>630320</v>
      </c>
      <c r="Y56" s="517">
        <v>372589</v>
      </c>
      <c r="Z56" s="517">
        <v>377961</v>
      </c>
      <c r="AA56" s="592">
        <v>473797</v>
      </c>
      <c r="AH56" s="594" t="s">
        <v>58</v>
      </c>
      <c r="AI56" s="517"/>
      <c r="AJ56" s="517" t="s">
        <v>58</v>
      </c>
      <c r="AK56" s="592" t="s">
        <v>58</v>
      </c>
      <c r="AR56" s="517">
        <f t="shared" ref="AR56:AU57" si="15">X56</f>
        <v>630320</v>
      </c>
      <c r="AS56" s="517">
        <f t="shared" si="15"/>
        <v>372589</v>
      </c>
      <c r="AT56" s="517">
        <f t="shared" si="15"/>
        <v>377961</v>
      </c>
      <c r="AU56" s="517">
        <f t="shared" si="15"/>
        <v>473797</v>
      </c>
      <c r="AV56" s="517">
        <f t="shared" ref="AV56:BA56" si="16">$AU$56</f>
        <v>473797</v>
      </c>
      <c r="AW56" s="517">
        <f t="shared" si="16"/>
        <v>473797</v>
      </c>
      <c r="AX56" s="517">
        <f t="shared" si="16"/>
        <v>473797</v>
      </c>
      <c r="AY56" s="517">
        <f t="shared" si="16"/>
        <v>473797</v>
      </c>
      <c r="AZ56" s="517">
        <f t="shared" si="16"/>
        <v>473797</v>
      </c>
      <c r="BA56" s="517">
        <f t="shared" si="16"/>
        <v>473797</v>
      </c>
    </row>
    <row r="57" spans="4:58" x14ac:dyDescent="0.2">
      <c r="W57" s="595" t="s">
        <v>479</v>
      </c>
      <c r="X57" s="594">
        <v>45424</v>
      </c>
      <c r="Y57" s="517">
        <v>48406</v>
      </c>
      <c r="Z57" s="517">
        <v>42979</v>
      </c>
      <c r="AA57" s="592">
        <v>43276</v>
      </c>
      <c r="AH57" s="594" t="s">
        <v>58</v>
      </c>
      <c r="AI57" s="517"/>
      <c r="AJ57" s="517" t="s">
        <v>58</v>
      </c>
      <c r="AK57" s="592" t="s">
        <v>58</v>
      </c>
      <c r="AR57" s="517">
        <f t="shared" si="15"/>
        <v>45424</v>
      </c>
      <c r="AS57" s="517">
        <f t="shared" si="15"/>
        <v>48406</v>
      </c>
      <c r="AT57" s="517">
        <f t="shared" si="15"/>
        <v>42979</v>
      </c>
      <c r="AU57" s="517">
        <f t="shared" si="15"/>
        <v>43276</v>
      </c>
      <c r="AV57" s="517">
        <f>AU57</f>
        <v>43276</v>
      </c>
      <c r="AW57" s="517">
        <f t="shared" ref="AW57:BA57" si="17">AV57</f>
        <v>43276</v>
      </c>
      <c r="AX57" s="517">
        <f t="shared" si="17"/>
        <v>43276</v>
      </c>
      <c r="AY57" s="517">
        <f t="shared" si="17"/>
        <v>43276</v>
      </c>
      <c r="AZ57" s="517">
        <f t="shared" si="17"/>
        <v>43276</v>
      </c>
      <c r="BA57" s="517">
        <f t="shared" si="17"/>
        <v>43276</v>
      </c>
    </row>
    <row r="58" spans="4:58" x14ac:dyDescent="0.2">
      <c r="W58" s="595" t="s">
        <v>480</v>
      </c>
      <c r="X58" s="594">
        <v>179907</v>
      </c>
      <c r="Y58" s="517">
        <v>133488</v>
      </c>
      <c r="Z58" s="517">
        <v>123836</v>
      </c>
      <c r="AA58" s="592">
        <v>121972</v>
      </c>
      <c r="AH58" s="594">
        <v>-67342</v>
      </c>
      <c r="AI58" s="517">
        <v>-58626</v>
      </c>
      <c r="AJ58" s="517">
        <v>-58629</v>
      </c>
      <c r="AK58" s="592">
        <v>-61521</v>
      </c>
      <c r="AR58" s="517">
        <f t="shared" ref="AR58:AU64" si="18">X58+AH58</f>
        <v>112565</v>
      </c>
      <c r="AS58" s="517">
        <f t="shared" si="18"/>
        <v>74862</v>
      </c>
      <c r="AT58" s="517">
        <f t="shared" si="18"/>
        <v>65207</v>
      </c>
      <c r="AU58" s="517">
        <f t="shared" si="18"/>
        <v>60451</v>
      </c>
      <c r="AV58" s="517">
        <f t="shared" ref="AV58:BA58" si="19">AU58+$AI$76</f>
        <v>60451</v>
      </c>
      <c r="AW58" s="517">
        <f t="shared" si="19"/>
        <v>60451</v>
      </c>
      <c r="AX58" s="517">
        <f t="shared" si="19"/>
        <v>60451</v>
      </c>
      <c r="AY58" s="517">
        <f t="shared" si="19"/>
        <v>60451</v>
      </c>
      <c r="AZ58" s="517">
        <f t="shared" si="19"/>
        <v>60451</v>
      </c>
      <c r="BA58" s="517">
        <f t="shared" si="19"/>
        <v>60451</v>
      </c>
    </row>
    <row r="59" spans="4:58" x14ac:dyDescent="0.2">
      <c r="W59" s="595" t="s">
        <v>481</v>
      </c>
      <c r="X59" s="594">
        <v>13333837</v>
      </c>
      <c r="Y59" s="517">
        <v>13993044</v>
      </c>
      <c r="Z59" s="517">
        <v>12983173</v>
      </c>
      <c r="AA59" s="592">
        <v>11024722</v>
      </c>
      <c r="AB59" s="601"/>
      <c r="AC59" s="601"/>
      <c r="AD59" s="601"/>
      <c r="AE59" s="601"/>
      <c r="AF59" s="601"/>
      <c r="AG59" s="601"/>
      <c r="AH59" s="594">
        <v>-4361337</v>
      </c>
      <c r="AI59" s="517">
        <v>-4630001</v>
      </c>
      <c r="AJ59" s="517">
        <v>-5292429</v>
      </c>
      <c r="AK59" s="592">
        <v>-4462706</v>
      </c>
      <c r="AL59" s="592"/>
      <c r="AM59" s="592"/>
      <c r="AN59" s="592"/>
      <c r="AO59" s="592"/>
      <c r="AP59" s="592"/>
      <c r="AQ59" s="592"/>
      <c r="AR59" s="517">
        <f t="shared" si="18"/>
        <v>8972500</v>
      </c>
      <c r="AS59" s="517">
        <f t="shared" si="18"/>
        <v>9363043</v>
      </c>
      <c r="AT59" s="517">
        <f t="shared" si="18"/>
        <v>7690744</v>
      </c>
      <c r="AU59" s="517">
        <f t="shared" si="18"/>
        <v>6562016</v>
      </c>
      <c r="AV59" s="788">
        <f>AU59</f>
        <v>6562016</v>
      </c>
      <c r="AW59" s="788">
        <f t="shared" ref="AW59:BA59" si="20">AV59</f>
        <v>6562016</v>
      </c>
      <c r="AX59" s="788">
        <f t="shared" si="20"/>
        <v>6562016</v>
      </c>
      <c r="AY59" s="788">
        <f t="shared" si="20"/>
        <v>6562016</v>
      </c>
      <c r="AZ59" s="788">
        <f t="shared" si="20"/>
        <v>6562016</v>
      </c>
      <c r="BA59" s="788">
        <f t="shared" si="20"/>
        <v>6562016</v>
      </c>
    </row>
    <row r="60" spans="4:58" x14ac:dyDescent="0.2">
      <c r="W60" s="595" t="s">
        <v>482</v>
      </c>
      <c r="X60" s="594">
        <v>34253</v>
      </c>
      <c r="Y60" s="517">
        <v>33658</v>
      </c>
      <c r="Z60" s="517">
        <v>27402</v>
      </c>
      <c r="AA60" s="592">
        <v>25764</v>
      </c>
      <c r="AB60" s="592">
        <f>(AV60-AU60)*(1+ABS($AH$60-$AI$60)/$Y$60)+AA60+$AH$60-$AI$60</f>
        <v>28572.806352143187</v>
      </c>
      <c r="AC60" s="592">
        <f t="shared" ref="AC60:AG61" si="21">AW60-AV60+AB60</f>
        <v>29222.374402726542</v>
      </c>
      <c r="AD60" s="592">
        <f t="shared" si="21"/>
        <v>29962.697526293618</v>
      </c>
      <c r="AE60" s="592">
        <f t="shared" si="21"/>
        <v>30189.966474929483</v>
      </c>
      <c r="AF60" s="592">
        <f t="shared" si="21"/>
        <v>30404.146788027421</v>
      </c>
      <c r="AG60" s="592">
        <f t="shared" si="21"/>
        <v>30629.217344437871</v>
      </c>
      <c r="AH60" s="594">
        <v>-27659</v>
      </c>
      <c r="AI60" s="517">
        <v>-28441</v>
      </c>
      <c r="AJ60" s="517">
        <v>-23986</v>
      </c>
      <c r="AK60" s="592">
        <v>-23501</v>
      </c>
      <c r="AL60" s="507"/>
      <c r="AM60" s="507"/>
      <c r="AN60" s="507"/>
      <c r="AO60" s="507"/>
      <c r="AP60" s="507"/>
      <c r="AQ60" s="507"/>
      <c r="AR60" s="517">
        <f t="shared" si="18"/>
        <v>6594</v>
      </c>
      <c r="AS60" s="517">
        <f t="shared" si="18"/>
        <v>5217</v>
      </c>
      <c r="AT60" s="517">
        <f t="shared" si="18"/>
        <v>3416</v>
      </c>
      <c r="AU60" s="517">
        <f t="shared" si="18"/>
        <v>2263</v>
      </c>
      <c r="AV60" s="517">
        <f>(SUM('Forecast Drivers'!H25,'Forecast Drivers'!H68,'Forecast Drivers'!H113)/SUM('Forecast Drivers'!$E$25,'Forecast Drivers'!$E$68,'Forecast Drivers'!$E$113))*ABS($AS$60)</f>
        <v>4243.7853716735008</v>
      </c>
      <c r="AW60" s="517">
        <f>(SUM('Forecast Drivers'!I25,'Forecast Drivers'!I68,'Forecast Drivers'!I113)/SUM('Forecast Drivers'!$E$25,'Forecast Drivers'!$E$68,'Forecast Drivers'!$E$113))*ABS($AS$60)</f>
        <v>4893.353422256856</v>
      </c>
      <c r="AX60" s="517">
        <f>(SUM('Forecast Drivers'!J25,'Forecast Drivers'!J68,'Forecast Drivers'!J113)/SUM('Forecast Drivers'!$E$25,'Forecast Drivers'!$E$68,'Forecast Drivers'!$E$113))*ABS($AS$60)</f>
        <v>5633.6765458239315</v>
      </c>
      <c r="AY60" s="517">
        <f>(SUM('Forecast Drivers'!K25,'Forecast Drivers'!K68,'Forecast Drivers'!K113)/SUM('Forecast Drivers'!$E$25,'Forecast Drivers'!$E$68,'Forecast Drivers'!$E$113))*ABS($AS$60)</f>
        <v>5860.9454944597965</v>
      </c>
      <c r="AZ60" s="517">
        <f>(SUM('Forecast Drivers'!L25,'Forecast Drivers'!L68,'Forecast Drivers'!L113)/SUM('Forecast Drivers'!$E$25,'Forecast Drivers'!$E$68,'Forecast Drivers'!$E$113))*ABS($AS$60)</f>
        <v>6075.1258075577362</v>
      </c>
      <c r="BA60" s="517">
        <f>(SUM('Forecast Drivers'!M25,'Forecast Drivers'!M68,'Forecast Drivers'!M113)/SUM('Forecast Drivers'!$E$25,'Forecast Drivers'!$E$68,'Forecast Drivers'!$E$113))*ABS($AS$60)</f>
        <v>6300.1963639681853</v>
      </c>
    </row>
    <row r="61" spans="4:58" x14ac:dyDescent="0.2">
      <c r="W61" s="595" t="s">
        <v>483</v>
      </c>
      <c r="X61" s="594">
        <v>160936</v>
      </c>
      <c r="Y61" s="517">
        <v>161992</v>
      </c>
      <c r="Z61" s="517">
        <v>147754</v>
      </c>
      <c r="AA61" s="592">
        <v>146986</v>
      </c>
      <c r="AB61" s="592">
        <f>AV61-AU61+AA61</f>
        <v>147050.30379181303</v>
      </c>
      <c r="AC61" s="592">
        <f t="shared" si="21"/>
        <v>149637.12108506964</v>
      </c>
      <c r="AD61" s="592">
        <f t="shared" si="21"/>
        <v>152585.35823577494</v>
      </c>
      <c r="AE61" s="592">
        <f t="shared" si="21"/>
        <v>153490.42622060506</v>
      </c>
      <c r="AF61" s="592">
        <f t="shared" si="21"/>
        <v>154343.37047686783</v>
      </c>
      <c r="AG61" s="592">
        <f t="shared" si="21"/>
        <v>155239.68366068677</v>
      </c>
      <c r="AH61" s="594">
        <v>-138372</v>
      </c>
      <c r="AI61" s="517">
        <v>-141216</v>
      </c>
      <c r="AJ61" s="517">
        <v>-132923</v>
      </c>
      <c r="AK61" s="592">
        <v>-130150</v>
      </c>
      <c r="AR61" s="517">
        <f t="shared" si="18"/>
        <v>22564</v>
      </c>
      <c r="AS61" s="517">
        <f t="shared" si="18"/>
        <v>20776</v>
      </c>
      <c r="AT61" s="517">
        <f t="shared" si="18"/>
        <v>14831</v>
      </c>
      <c r="AU61" s="517">
        <f t="shared" si="18"/>
        <v>16836</v>
      </c>
      <c r="AV61" s="517">
        <f>(SUM('Forecast Drivers'!H25,'Forecast Drivers'!H68,'Forecast Drivers'!H113)/SUM('Forecast Drivers'!$E$25,'Forecast Drivers'!$E$68,'Forecast Drivers'!$E$113))*ABS($AS$61)</f>
        <v>16900.303791813043</v>
      </c>
      <c r="AW61" s="517">
        <f>(SUM('Forecast Drivers'!I25,'Forecast Drivers'!I68,'Forecast Drivers'!I113)/SUM('Forecast Drivers'!$E$25,'Forecast Drivers'!$E$68,'Forecast Drivers'!$E$113))*ABS($AS$61)</f>
        <v>19487.121085069663</v>
      </c>
      <c r="AX61" s="517">
        <f>(SUM('Forecast Drivers'!J25,'Forecast Drivers'!J68,'Forecast Drivers'!J113)/SUM('Forecast Drivers'!$E$25,'Forecast Drivers'!$E$68,'Forecast Drivers'!$E$113))*ABS($AS$61)</f>
        <v>22435.358235774966</v>
      </c>
      <c r="AY61" s="517">
        <f>(SUM('Forecast Drivers'!K25,'Forecast Drivers'!K68,'Forecast Drivers'!K113)/SUM('Forecast Drivers'!$E$25,'Forecast Drivers'!$E$68,'Forecast Drivers'!$E$113))*ABS($AS$61)</f>
        <v>23340.426220605084</v>
      </c>
      <c r="AZ61" s="517">
        <f>(SUM('Forecast Drivers'!L25,'Forecast Drivers'!L68,'Forecast Drivers'!L113)/SUM('Forecast Drivers'!$E$25,'Forecast Drivers'!$E$68,'Forecast Drivers'!$E$113))*ABS($AS$61)</f>
        <v>24193.37047686784</v>
      </c>
      <c r="BA61" s="517">
        <f>(SUM('Forecast Drivers'!M25,'Forecast Drivers'!M68,'Forecast Drivers'!M113)/SUM('Forecast Drivers'!$E$25,'Forecast Drivers'!$E$68,'Forecast Drivers'!$E$113))*ABS($AS$61)</f>
        <v>25089.683660686798</v>
      </c>
    </row>
    <row r="62" spans="4:58" x14ac:dyDescent="0.2">
      <c r="W62" s="595" t="s">
        <v>484</v>
      </c>
      <c r="X62" s="594">
        <v>182629</v>
      </c>
      <c r="Y62" s="517">
        <v>171469</v>
      </c>
      <c r="Z62" s="517">
        <v>154414</v>
      </c>
      <c r="AA62" s="592">
        <v>147402</v>
      </c>
      <c r="AH62" s="594">
        <v>-111620</v>
      </c>
      <c r="AI62" s="517">
        <v>-111635</v>
      </c>
      <c r="AJ62" s="517">
        <v>-105215</v>
      </c>
      <c r="AK62" s="592">
        <v>-108661</v>
      </c>
      <c r="AR62" s="517">
        <f t="shared" si="18"/>
        <v>71009</v>
      </c>
      <c r="AS62" s="517">
        <f t="shared" si="18"/>
        <v>59834</v>
      </c>
      <c r="AT62" s="517">
        <f t="shared" si="18"/>
        <v>49199</v>
      </c>
      <c r="AU62" s="517">
        <f t="shared" si="18"/>
        <v>38741</v>
      </c>
      <c r="AV62" s="517">
        <f>SUM('Forecast Drivers'!H25,'Forecast Drivers'!H68,'Forecast Drivers'!H113)/SUM('Forecast Drivers'!$E$25,'Forecast Drivers'!$E$68,'Forecast Drivers'!$E$113)*ABS($AS$62)</f>
        <v>48672.159081600963</v>
      </c>
      <c r="AW62" s="517">
        <f>SUM('Forecast Drivers'!I25,'Forecast Drivers'!I68,'Forecast Drivers'!I113)/SUM('Forecast Drivers'!$E$25,'Forecast Drivers'!$E$68,'Forecast Drivers'!$E$113)*ABS($AS$62)</f>
        <v>56122.083317484517</v>
      </c>
      <c r="AX62" s="517">
        <f>SUM('Forecast Drivers'!J25,'Forecast Drivers'!J68,'Forecast Drivers'!J113)/SUM('Forecast Drivers'!$E$25,'Forecast Drivers'!$E$68,'Forecast Drivers'!$E$113)*ABS($AS$62)</f>
        <v>64612.881434316485</v>
      </c>
      <c r="AY62" s="517">
        <f>SUM('Forecast Drivers'!K25,'Forecast Drivers'!K68,'Forecast Drivers'!K113)/SUM('Forecast Drivers'!$E$25,'Forecast Drivers'!$E$68,'Forecast Drivers'!$E$113)*ABS($AS$62)</f>
        <v>67219.438895056053</v>
      </c>
      <c r="AZ62" s="517">
        <f>SUM('Forecast Drivers'!L25,'Forecast Drivers'!L68,'Forecast Drivers'!L113)/SUM('Forecast Drivers'!$E$25,'Forecast Drivers'!$E$68,'Forecast Drivers'!$E$113)*ABS($AS$62)</f>
        <v>69675.882225303736</v>
      </c>
      <c r="BA62" s="517">
        <f>SUM('Forecast Drivers'!M25,'Forecast Drivers'!M68,'Forecast Drivers'!M113)/SUM('Forecast Drivers'!$E$25,'Forecast Drivers'!$E$68,'Forecast Drivers'!$E$113)*ABS($AS$62)</f>
        <v>72257.226229954453</v>
      </c>
    </row>
    <row r="63" spans="4:58" x14ac:dyDescent="0.2">
      <c r="W63" s="595" t="s">
        <v>485</v>
      </c>
      <c r="X63" s="594">
        <v>69653</v>
      </c>
      <c r="Y63" s="517">
        <v>67060</v>
      </c>
      <c r="Z63" s="517">
        <v>49345</v>
      </c>
      <c r="AA63" s="592">
        <v>49186</v>
      </c>
      <c r="AB63" s="592">
        <f>AV63-AU63+AA63</f>
        <v>49899.980430798867</v>
      </c>
      <c r="AC63" s="592">
        <f t="shared" ref="AC63:AG63" si="22">AW63-AV63+AB63</f>
        <v>50738.305461386895</v>
      </c>
      <c r="AD63" s="592">
        <f t="shared" si="22"/>
        <v>51693.757941926888</v>
      </c>
      <c r="AE63" s="592">
        <f t="shared" si="22"/>
        <v>51987.068624534761</v>
      </c>
      <c r="AF63" s="592">
        <f t="shared" si="22"/>
        <v>52263.487265149757</v>
      </c>
      <c r="AG63" s="592">
        <f t="shared" si="22"/>
        <v>52553.960728119193</v>
      </c>
      <c r="AH63" s="594">
        <v>-60531</v>
      </c>
      <c r="AI63" s="517">
        <v>-60327</v>
      </c>
      <c r="AJ63" s="517">
        <v>-44140</v>
      </c>
      <c r="AK63" s="592">
        <v>-44423</v>
      </c>
      <c r="AR63" s="517">
        <f t="shared" si="18"/>
        <v>9122</v>
      </c>
      <c r="AS63" s="517">
        <f t="shared" si="18"/>
        <v>6733</v>
      </c>
      <c r="AT63" s="517">
        <f t="shared" si="18"/>
        <v>5205</v>
      </c>
      <c r="AU63" s="517">
        <f t="shared" si="18"/>
        <v>4763</v>
      </c>
      <c r="AV63" s="517">
        <f>(SUM('Forecast Drivers'!H25,'Forecast Drivers'!H68,'Forecast Drivers'!H113)/SUM('Forecast Drivers'!$E$25,'Forecast Drivers'!$E$68,'Forecast Drivers'!$E$113))*ABS($AS$63)</f>
        <v>5476.9804307988652</v>
      </c>
      <c r="AW63" s="517">
        <f>(SUM('Forecast Drivers'!I25,'Forecast Drivers'!I68,'Forecast Drivers'!I113)/SUM('Forecast Drivers'!$E$25,'Forecast Drivers'!$E$68,'Forecast Drivers'!$E$113))*ABS($AS$63)</f>
        <v>6315.3054613868908</v>
      </c>
      <c r="AX63" s="517">
        <f>(SUM('Forecast Drivers'!J25,'Forecast Drivers'!J68,'Forecast Drivers'!J113)/SUM('Forecast Drivers'!$E$25,'Forecast Drivers'!$E$68,'Forecast Drivers'!$E$113))*ABS($AS$63)</f>
        <v>7270.7579419268795</v>
      </c>
      <c r="AY63" s="517">
        <f>(SUM('Forecast Drivers'!K25,'Forecast Drivers'!K68,'Forecast Drivers'!K113)/SUM('Forecast Drivers'!$E$25,'Forecast Drivers'!$E$68,'Forecast Drivers'!$E$113))*ABS($AS$63)</f>
        <v>7564.0686245347533</v>
      </c>
      <c r="AZ63" s="517">
        <f>(SUM('Forecast Drivers'!L25,'Forecast Drivers'!L68,'Forecast Drivers'!L113)/SUM('Forecast Drivers'!$E$25,'Forecast Drivers'!$E$68,'Forecast Drivers'!$E$113))*ABS($AS$63)</f>
        <v>7840.4872651497481</v>
      </c>
      <c r="BA63" s="517">
        <f>(SUM('Forecast Drivers'!M25,'Forecast Drivers'!M68,'Forecast Drivers'!M113)/SUM('Forecast Drivers'!$E$25,'Forecast Drivers'!$E$68,'Forecast Drivers'!$E$113))*ABS($AS$63)</f>
        <v>8130.9607281191857</v>
      </c>
    </row>
    <row r="64" spans="4:58" x14ac:dyDescent="0.2">
      <c r="W64" s="595" t="s">
        <v>486</v>
      </c>
      <c r="X64" s="594">
        <v>211322</v>
      </c>
      <c r="Y64" s="517">
        <v>234249</v>
      </c>
      <c r="Z64" s="517">
        <v>201828</v>
      </c>
      <c r="AA64" s="592">
        <v>248733</v>
      </c>
      <c r="AH64" s="594">
        <v>-128055</v>
      </c>
      <c r="AI64" s="517">
        <v>-135789</v>
      </c>
      <c r="AJ64" s="517">
        <v>-127420</v>
      </c>
      <c r="AK64" s="592">
        <v>-115758</v>
      </c>
      <c r="AR64" s="517">
        <f t="shared" si="18"/>
        <v>83267</v>
      </c>
      <c r="AS64" s="517">
        <f t="shared" si="18"/>
        <v>98460</v>
      </c>
      <c r="AT64" s="517">
        <f t="shared" si="18"/>
        <v>74408</v>
      </c>
      <c r="AU64" s="517">
        <f t="shared" si="18"/>
        <v>132975</v>
      </c>
      <c r="AV64" s="517">
        <f>AU64</f>
        <v>132975</v>
      </c>
      <c r="AW64" s="517">
        <f t="shared" ref="AW64:BA64" si="23">AV64</f>
        <v>132975</v>
      </c>
      <c r="AX64" s="517">
        <f t="shared" si="23"/>
        <v>132975</v>
      </c>
      <c r="AY64" s="517">
        <f t="shared" si="23"/>
        <v>132975</v>
      </c>
      <c r="AZ64" s="517">
        <f t="shared" si="23"/>
        <v>132975</v>
      </c>
      <c r="BA64" s="517">
        <f t="shared" si="23"/>
        <v>132975</v>
      </c>
    </row>
    <row r="65" spans="23:70" x14ac:dyDescent="0.2">
      <c r="W65" s="596" t="s">
        <v>487</v>
      </c>
      <c r="X65" s="597">
        <f>SUM(X60:X64,X56:X58)</f>
        <v>1514444</v>
      </c>
      <c r="Y65" s="598">
        <f>SUM(Y60:Y64,Y56:Y58)</f>
        <v>1222911</v>
      </c>
      <c r="Z65" s="598">
        <f>SUM(Z60:Z64,Z56:Z58)</f>
        <v>1125519</v>
      </c>
      <c r="AA65" s="599">
        <f>SUM(AA60:AA64,AA56:AA58)</f>
        <v>1257116</v>
      </c>
      <c r="AH65" s="597">
        <f>SUM(AH60:AH64,AH56:AH58)</f>
        <v>-533579</v>
      </c>
      <c r="AI65" s="598">
        <f>SUM(AI60:AI64,AI56:AI58)</f>
        <v>-536034</v>
      </c>
      <c r="AJ65" s="598">
        <f>SUM(AJ60:AJ64,AJ56:AJ58)</f>
        <v>-492313</v>
      </c>
      <c r="AK65" s="599">
        <f>SUM(AK60:AK64,AK56:AK58)</f>
        <v>-484014</v>
      </c>
      <c r="AR65" s="597">
        <f t="shared" ref="AR65:BA65" si="24">SUM(AR56:AR59,AR60:AR63)</f>
        <v>9870098</v>
      </c>
      <c r="AS65" s="597">
        <f t="shared" si="24"/>
        <v>9951460</v>
      </c>
      <c r="AT65" s="597">
        <f t="shared" si="24"/>
        <v>8249542</v>
      </c>
      <c r="AU65" s="597">
        <f t="shared" si="24"/>
        <v>7202143</v>
      </c>
      <c r="AV65" s="597">
        <f t="shared" si="24"/>
        <v>7214833.2286758851</v>
      </c>
      <c r="AW65" s="597">
        <f t="shared" si="24"/>
        <v>7226357.863286199</v>
      </c>
      <c r="AX65" s="597">
        <f t="shared" si="24"/>
        <v>7239492.6741578421</v>
      </c>
      <c r="AY65" s="597">
        <f t="shared" si="24"/>
        <v>7243524.8792346558</v>
      </c>
      <c r="AZ65" s="597">
        <f t="shared" si="24"/>
        <v>7247324.8657748802</v>
      </c>
      <c r="BA65" s="597">
        <f t="shared" si="24"/>
        <v>7251318.0669827284</v>
      </c>
    </row>
    <row r="66" spans="23:70" x14ac:dyDescent="0.2">
      <c r="W66" s="595"/>
      <c r="X66" s="594"/>
      <c r="Y66" s="517"/>
      <c r="Z66" s="517"/>
      <c r="AA66" s="592"/>
      <c r="AH66" s="594"/>
      <c r="AI66" s="517"/>
      <c r="AJ66" s="517"/>
      <c r="AK66" s="592"/>
      <c r="AR66" s="517"/>
      <c r="AS66" s="517"/>
      <c r="AT66" s="517"/>
      <c r="AU66" s="517"/>
      <c r="AV66" s="517"/>
      <c r="AW66" s="517"/>
      <c r="AX66" s="517"/>
      <c r="AY66" s="517"/>
      <c r="AZ66" s="517"/>
      <c r="BA66" s="517"/>
    </row>
    <row r="67" spans="23:70" x14ac:dyDescent="0.2">
      <c r="W67" s="613"/>
      <c r="X67" s="614"/>
      <c r="Y67" s="615"/>
      <c r="Z67" s="615"/>
      <c r="AA67" s="616"/>
      <c r="AB67" s="617"/>
      <c r="AC67" s="617"/>
      <c r="AD67" s="617"/>
      <c r="AE67" s="617"/>
      <c r="AF67" s="617"/>
      <c r="AG67" s="617"/>
      <c r="AH67" s="594"/>
      <c r="AI67" s="517"/>
      <c r="AJ67" s="517"/>
      <c r="AK67" s="592"/>
      <c r="AR67" s="517">
        <f t="shared" ref="AR67:BA67" si="25">AR59+AR68</f>
        <v>11520944</v>
      </c>
      <c r="AS67" s="517">
        <f t="shared" si="25"/>
        <v>12232741</v>
      </c>
      <c r="AT67" s="517">
        <f t="shared" si="25"/>
        <v>10097063</v>
      </c>
      <c r="AU67" s="517">
        <f t="shared" si="25"/>
        <v>8716765</v>
      </c>
      <c r="AV67" s="517">
        <f t="shared" si="25"/>
        <v>8751369.6184739117</v>
      </c>
      <c r="AW67" s="517">
        <f t="shared" si="25"/>
        <v>9446033.6997402161</v>
      </c>
      <c r="AX67" s="517">
        <f t="shared" si="25"/>
        <v>9464609.1100875717</v>
      </c>
      <c r="AY67" s="517">
        <f t="shared" si="25"/>
        <v>9732091.6265063025</v>
      </c>
      <c r="AZ67" s="517">
        <f t="shared" si="25"/>
        <v>9965898.9125919677</v>
      </c>
      <c r="BA67" s="517">
        <f t="shared" si="25"/>
        <v>10410307.885424666</v>
      </c>
    </row>
    <row r="68" spans="23:70" x14ac:dyDescent="0.2">
      <c r="W68" s="613" t="s">
        <v>488</v>
      </c>
      <c r="X68" s="614">
        <v>4987953</v>
      </c>
      <c r="Y68" s="615">
        <v>5693553</v>
      </c>
      <c r="Z68" s="615">
        <v>5614366</v>
      </c>
      <c r="AA68" s="616">
        <v>5454167</v>
      </c>
      <c r="AB68" s="616">
        <f t="shared" ref="AB68:AG68" si="26">AA68+ABS(H7)*10^3</f>
        <v>5828167</v>
      </c>
      <c r="AC68" s="616">
        <f t="shared" si="26"/>
        <v>6926167</v>
      </c>
      <c r="AD68" s="616">
        <f t="shared" si="26"/>
        <v>7374167</v>
      </c>
      <c r="AE68" s="616">
        <f t="shared" si="26"/>
        <v>8114167</v>
      </c>
      <c r="AF68" s="616">
        <f t="shared" si="26"/>
        <v>8864167</v>
      </c>
      <c r="AG68" s="616">
        <f t="shared" si="26"/>
        <v>9884167</v>
      </c>
      <c r="AH68" s="594">
        <v>-2439509</v>
      </c>
      <c r="AI68" s="517">
        <v>-2823855</v>
      </c>
      <c r="AJ68" s="517">
        <v>-3208047</v>
      </c>
      <c r="AK68" s="592">
        <v>-3299418</v>
      </c>
      <c r="AL68" s="592">
        <f>-317616/$AA$68*AB68+AK68</f>
        <v>-3638813.3815260883</v>
      </c>
      <c r="AM68" s="592">
        <f t="shared" ref="AM68:AQ68" si="27">-317616/$AA$68*AC68+AL68</f>
        <v>-4042149.3002597829</v>
      </c>
      <c r="AN68" s="592">
        <f t="shared" si="27"/>
        <v>-4471573.8899124283</v>
      </c>
      <c r="AO68" s="592">
        <f t="shared" si="27"/>
        <v>-4944091.3734936975</v>
      </c>
      <c r="AP68" s="592">
        <f t="shared" si="27"/>
        <v>-5460284.0874080313</v>
      </c>
      <c r="AQ68" s="592">
        <f t="shared" si="27"/>
        <v>-6035875.114575333</v>
      </c>
      <c r="AR68" s="658">
        <f>X68+AH68</f>
        <v>2548444</v>
      </c>
      <c r="AS68" s="658">
        <f t="shared" ref="AS68:AZ68" si="28">Y68+AI68</f>
        <v>2869698</v>
      </c>
      <c r="AT68" s="658">
        <f t="shared" si="28"/>
        <v>2406319</v>
      </c>
      <c r="AU68" s="658">
        <f t="shared" si="28"/>
        <v>2154749</v>
      </c>
      <c r="AV68" s="658">
        <f t="shared" si="28"/>
        <v>2189353.6184739117</v>
      </c>
      <c r="AW68" s="658">
        <f t="shared" si="28"/>
        <v>2884017.6997402171</v>
      </c>
      <c r="AX68" s="658">
        <f t="shared" si="28"/>
        <v>2902593.1100875717</v>
      </c>
      <c r="AY68" s="658">
        <f t="shared" si="28"/>
        <v>3170075.6265063025</v>
      </c>
      <c r="AZ68" s="658">
        <f t="shared" si="28"/>
        <v>3403882.9125919687</v>
      </c>
      <c r="BA68" s="658">
        <f>AG68+AQ68</f>
        <v>3848291.885424667</v>
      </c>
    </row>
    <row r="69" spans="23:70" x14ac:dyDescent="0.2">
      <c r="W69" s="613"/>
      <c r="X69" s="614"/>
      <c r="Y69" s="615"/>
      <c r="Z69" s="615"/>
      <c r="AA69" s="616"/>
      <c r="AB69" s="614"/>
      <c r="AC69" s="614"/>
      <c r="AD69" s="614"/>
      <c r="AE69" s="614"/>
      <c r="AF69" s="614"/>
      <c r="AG69" s="614"/>
      <c r="AH69" s="594"/>
      <c r="AI69" s="517"/>
      <c r="AJ69" s="517"/>
      <c r="AK69" s="592"/>
      <c r="AL69" s="592"/>
      <c r="AM69" s="592"/>
      <c r="AN69" s="592"/>
      <c r="AO69" s="592"/>
      <c r="AP69" s="592"/>
      <c r="AQ69" s="592"/>
      <c r="AR69" s="517"/>
      <c r="AS69" s="517"/>
      <c r="AT69" s="517"/>
      <c r="AU69" s="517"/>
      <c r="AV69" s="715">
        <f>SUM('Forecast Drivers'!H25,'Forecast Drivers'!H68,'Forecast Drivers'!H113)/SUM('Forecast Drivers'!$E$25,'Forecast Drivers'!$E$68,'Forecast Drivers'!$E$113)*$AS$67</f>
        <v>9950762.3751716837</v>
      </c>
      <c r="AW69" s="715">
        <f>SUM('Forecast Drivers'!I25,'Forecast Drivers'!I68,'Forecast Drivers'!I113)/SUM('Forecast Drivers'!$E$25,'Forecast Drivers'!$E$68,'Forecast Drivers'!$E$113)*$AS$67</f>
        <v>11473859.504683103</v>
      </c>
      <c r="AX69" s="715">
        <f>SUM('Forecast Drivers'!J25,'Forecast Drivers'!J68,'Forecast Drivers'!J113)/SUM('Forecast Drivers'!$E$25,'Forecast Drivers'!$E$68,'Forecast Drivers'!$E$113)*$AS$67</f>
        <v>13209757.727206975</v>
      </c>
      <c r="AY69" s="715">
        <f>SUM('Forecast Drivers'!K25,'Forecast Drivers'!K68,'Forecast Drivers'!K113)/SUM('Forecast Drivers'!$E$25,'Forecast Drivers'!$E$68,'Forecast Drivers'!$E$113)*$AS$67</f>
        <v>13742654.446778536</v>
      </c>
      <c r="AZ69" s="715">
        <f>SUM('Forecast Drivers'!L25,'Forecast Drivers'!L68,'Forecast Drivers'!L113)/SUM('Forecast Drivers'!$E$25,'Forecast Drivers'!$E$68,'Forecast Drivers'!$E$113)*$AS$67</f>
        <v>14244861.135953542</v>
      </c>
      <c r="BA69" s="715">
        <f>SUM('Forecast Drivers'!M25,'Forecast Drivers'!M68,'Forecast Drivers'!M113)/SUM('Forecast Drivers'!$E$25,'Forecast Drivers'!$E$68,'Forecast Drivers'!$E$113)*$AS$67</f>
        <v>14772603.099398993</v>
      </c>
    </row>
    <row r="70" spans="23:70" x14ac:dyDescent="0.2">
      <c r="W70" s="618" t="s">
        <v>489</v>
      </c>
      <c r="X70" s="619"/>
      <c r="Y70" s="620"/>
      <c r="Z70" s="620"/>
      <c r="AA70" s="621"/>
      <c r="AB70" s="621"/>
      <c r="AC70" s="621"/>
      <c r="AD70" s="621"/>
      <c r="AE70" s="621"/>
      <c r="AF70" s="621"/>
      <c r="AG70" s="621"/>
      <c r="AH70" s="597"/>
      <c r="AI70" s="598"/>
      <c r="AJ70" s="598"/>
      <c r="AK70" s="599"/>
      <c r="AR70" s="598">
        <f t="shared" ref="AR70:AZ70" si="29">AR65+AR68</f>
        <v>12418542</v>
      </c>
      <c r="AS70" s="598">
        <f t="shared" si="29"/>
        <v>12821158</v>
      </c>
      <c r="AT70" s="598">
        <f t="shared" si="29"/>
        <v>10655861</v>
      </c>
      <c r="AU70" s="598">
        <f t="shared" si="29"/>
        <v>9356892</v>
      </c>
      <c r="AV70" s="598">
        <f>AV65+AV68</f>
        <v>9404186.8471497968</v>
      </c>
      <c r="AW70" s="598">
        <f t="shared" si="29"/>
        <v>10110375.563026417</v>
      </c>
      <c r="AX70" s="598">
        <f t="shared" si="29"/>
        <v>10142085.784245413</v>
      </c>
      <c r="AY70" s="598">
        <f t="shared" si="29"/>
        <v>10413600.505740959</v>
      </c>
      <c r="AZ70" s="598">
        <f t="shared" si="29"/>
        <v>10651207.778366849</v>
      </c>
      <c r="BA70" s="598">
        <f>BA65+BA68</f>
        <v>11099609.952407395</v>
      </c>
    </row>
    <row r="71" spans="23:70" x14ac:dyDescent="0.2">
      <c r="W71" s="613"/>
      <c r="X71" s="614"/>
      <c r="Y71" s="615"/>
      <c r="Z71" s="615"/>
      <c r="AA71" s="616"/>
      <c r="AB71" s="617"/>
      <c r="AC71" s="617"/>
      <c r="AD71" s="617"/>
      <c r="AE71" s="617"/>
      <c r="AF71" s="617"/>
      <c r="AG71" s="617"/>
      <c r="AH71" s="594"/>
      <c r="AI71" s="517"/>
      <c r="AJ71" s="517"/>
      <c r="AK71" s="592"/>
      <c r="AR71" s="517"/>
      <c r="AS71" s="517"/>
      <c r="AT71" s="517"/>
      <c r="AU71" s="517"/>
      <c r="AW71" s="517">
        <f t="shared" ref="AW71:BA71" si="30">AW70-AV70</f>
        <v>706188.71587662026</v>
      </c>
      <c r="AX71" s="517">
        <f t="shared" si="30"/>
        <v>31710.22121899575</v>
      </c>
      <c r="AY71" s="517">
        <f t="shared" si="30"/>
        <v>271514.7214955464</v>
      </c>
      <c r="AZ71" s="517">
        <f t="shared" si="30"/>
        <v>237607.27262588963</v>
      </c>
      <c r="BA71" s="517">
        <f t="shared" si="30"/>
        <v>448402.17404054664</v>
      </c>
    </row>
    <row r="72" spans="23:70" x14ac:dyDescent="0.2">
      <c r="W72" s="602" t="s">
        <v>275</v>
      </c>
      <c r="X72" s="597">
        <f>X70+X65</f>
        <v>1514444</v>
      </c>
      <c r="Y72" s="598">
        <f>Y70+Y65</f>
        <v>1222911</v>
      </c>
      <c r="Z72" s="598">
        <f>Z70+Z65</f>
        <v>1125519</v>
      </c>
      <c r="AA72" s="599">
        <f>AA70+AA65</f>
        <v>1257116</v>
      </c>
      <c r="AH72" s="597">
        <f>AH70+AH65</f>
        <v>-533579</v>
      </c>
      <c r="AI72" s="598">
        <f>AI70+AI65</f>
        <v>-536034</v>
      </c>
      <c r="AJ72" s="598">
        <f>AJ70+AJ65</f>
        <v>-492313</v>
      </c>
      <c r="AK72" s="599">
        <f>AK70+AK65</f>
        <v>-484014</v>
      </c>
      <c r="AR72" s="598"/>
      <c r="AS72" s="598"/>
      <c r="AT72" s="598"/>
      <c r="AU72" s="598"/>
      <c r="AV72" s="517"/>
      <c r="AW72" s="517"/>
      <c r="AX72" s="517"/>
      <c r="AY72" s="517"/>
      <c r="AZ72" s="517"/>
      <c r="BA72" s="517"/>
      <c r="BP72" s="531">
        <v>88</v>
      </c>
      <c r="BQ72" s="531" t="s">
        <v>490</v>
      </c>
    </row>
    <row r="73" spans="23:70" x14ac:dyDescent="0.2">
      <c r="BP73" s="531" t="s">
        <v>491</v>
      </c>
      <c r="BQ73" s="531">
        <v>13255000</v>
      </c>
    </row>
    <row r="74" spans="23:70" x14ac:dyDescent="0.2">
      <c r="W74" s="604" t="s">
        <v>492</v>
      </c>
      <c r="X74" s="517"/>
      <c r="Y74" s="517"/>
      <c r="Z74" s="517"/>
      <c r="AA74" s="517"/>
      <c r="AB74" s="517"/>
      <c r="AC74" s="517"/>
      <c r="AD74" s="517"/>
      <c r="AE74" s="517"/>
      <c r="AF74" s="517"/>
      <c r="AG74" s="517"/>
      <c r="AH74" s="517"/>
      <c r="AI74" s="517"/>
      <c r="AJ74" s="517"/>
      <c r="AK74" s="517"/>
      <c r="AL74" s="517"/>
      <c r="AM74" s="517"/>
      <c r="AN74" s="517"/>
      <c r="AO74" s="517"/>
      <c r="AP74" s="517"/>
      <c r="AR74" s="531" t="e">
        <f>#REF!/#REF!</f>
        <v>#REF!</v>
      </c>
      <c r="AS74" s="531" t="e">
        <f>#REF!/#REF!</f>
        <v>#REF!</v>
      </c>
      <c r="AT74" s="531" t="e">
        <f>#REF!/#REF!</f>
        <v>#REF!</v>
      </c>
      <c r="AU74" s="604" t="s">
        <v>492</v>
      </c>
      <c r="BP74" s="531">
        <v>2023</v>
      </c>
      <c r="BQ74" s="531">
        <v>600000</v>
      </c>
      <c r="BR74" s="531" t="s">
        <v>493</v>
      </c>
    </row>
    <row r="75" spans="23:70" x14ac:dyDescent="0.2">
      <c r="W75" s="595" t="s">
        <v>478</v>
      </c>
      <c r="X75" s="517"/>
      <c r="Y75" s="517"/>
      <c r="Z75" s="517"/>
      <c r="AA75" s="517"/>
      <c r="AB75" s="517"/>
      <c r="AC75" s="517"/>
      <c r="AD75" s="517"/>
      <c r="AE75" s="517"/>
      <c r="AF75" s="517"/>
      <c r="AG75" s="517"/>
      <c r="AH75" s="517"/>
      <c r="AJ75" s="517"/>
      <c r="AK75" s="517"/>
      <c r="AL75" s="517"/>
      <c r="AM75" s="517"/>
      <c r="AN75" s="517"/>
      <c r="AO75" s="517"/>
      <c r="AP75" s="517"/>
      <c r="AR75" s="517">
        <f>0</f>
        <v>0</v>
      </c>
      <c r="AS75" s="517">
        <f>0</f>
        <v>0</v>
      </c>
      <c r="AT75" s="517">
        <f>0</f>
        <v>0</v>
      </c>
      <c r="AU75" s="595" t="s">
        <v>478</v>
      </c>
      <c r="AV75" s="517">
        <f>AV56-AU56</f>
        <v>0</v>
      </c>
      <c r="AW75" s="517">
        <f>AW56-AV56</f>
        <v>0</v>
      </c>
      <c r="AX75" s="517">
        <f>AX56-AW56</f>
        <v>0</v>
      </c>
      <c r="AY75" s="517">
        <v>0</v>
      </c>
      <c r="AZ75" s="517">
        <f>AZ56-AY56</f>
        <v>0</v>
      </c>
      <c r="BA75" s="517">
        <f>BA56-AZ56</f>
        <v>0</v>
      </c>
      <c r="BC75">
        <v>-395.93599999999998</v>
      </c>
      <c r="BP75" s="531" t="s">
        <v>494</v>
      </c>
      <c r="BQ75" s="531" t="s">
        <v>495</v>
      </c>
    </row>
    <row r="76" spans="23:70" x14ac:dyDescent="0.2">
      <c r="W76" s="595" t="s">
        <v>479</v>
      </c>
      <c r="X76" s="517"/>
      <c r="Y76" s="517"/>
      <c r="Z76" s="517"/>
      <c r="AA76" s="517"/>
      <c r="AB76" s="517"/>
      <c r="AC76" s="517"/>
      <c r="AD76" s="517"/>
      <c r="AE76" s="517"/>
      <c r="AF76" s="517"/>
      <c r="AG76" s="517"/>
      <c r="AH76" s="517"/>
      <c r="AI76" s="517"/>
      <c r="AJ76" s="517"/>
      <c r="AK76" s="517"/>
      <c r="AL76" s="517"/>
      <c r="AM76" s="517"/>
      <c r="AN76" s="517"/>
      <c r="AO76" s="517"/>
      <c r="AP76" s="517"/>
      <c r="AR76" s="517">
        <f>0</f>
        <v>0</v>
      </c>
      <c r="AS76" s="517">
        <f>0</f>
        <v>0</v>
      </c>
      <c r="AT76" s="517">
        <f>0</f>
        <v>0</v>
      </c>
      <c r="AU76" s="595" t="s">
        <v>479</v>
      </c>
      <c r="AV76" s="517">
        <f>0</f>
        <v>0</v>
      </c>
      <c r="AW76" s="517">
        <f>0</f>
        <v>0</v>
      </c>
      <c r="AX76" s="517">
        <f>0</f>
        <v>0</v>
      </c>
      <c r="AY76" s="517">
        <f>0</f>
        <v>0</v>
      </c>
      <c r="AZ76" s="517">
        <f>0</f>
        <v>0</v>
      </c>
      <c r="BA76" s="517">
        <f>0</f>
        <v>0</v>
      </c>
      <c r="BP76" s="531">
        <v>2022</v>
      </c>
      <c r="BQ76" s="531" t="s">
        <v>496</v>
      </c>
    </row>
    <row r="77" spans="23:70" x14ac:dyDescent="0.2">
      <c r="W77" s="595" t="s">
        <v>480</v>
      </c>
      <c r="X77" s="517"/>
      <c r="Y77" s="517"/>
      <c r="Z77" s="517"/>
      <c r="AA77" s="517"/>
      <c r="AB77" s="517"/>
      <c r="AC77" s="517"/>
      <c r="AD77" s="517"/>
      <c r="AE77" s="517"/>
      <c r="AF77" s="517"/>
      <c r="AG77" s="517"/>
      <c r="AH77" s="517"/>
      <c r="AI77" s="517"/>
      <c r="AJ77" s="517"/>
      <c r="AK77" s="517"/>
      <c r="AL77" s="517"/>
      <c r="AM77" s="517"/>
      <c r="AN77" s="517"/>
      <c r="AO77" s="517"/>
      <c r="AP77" s="517"/>
      <c r="AR77" s="517">
        <f>4074</f>
        <v>4074</v>
      </c>
      <c r="AS77" s="517">
        <f>4074</f>
        <v>4074</v>
      </c>
      <c r="AT77" s="517">
        <f>4074</f>
        <v>4074</v>
      </c>
      <c r="AU77" s="595" t="s">
        <v>480</v>
      </c>
      <c r="AV77" s="517">
        <f>4074</f>
        <v>4074</v>
      </c>
      <c r="AW77" s="517">
        <f>4074</f>
        <v>4074</v>
      </c>
      <c r="AX77" s="517">
        <f>4074</f>
        <v>4074</v>
      </c>
      <c r="AY77" s="517">
        <f>4074</f>
        <v>4074</v>
      </c>
      <c r="AZ77" s="517">
        <f>4074</f>
        <v>4074</v>
      </c>
      <c r="BA77" s="517">
        <f>4074</f>
        <v>4074</v>
      </c>
      <c r="BP77" s="531" t="s">
        <v>494</v>
      </c>
      <c r="BQ77" s="531" t="s">
        <v>497</v>
      </c>
    </row>
    <row r="78" spans="23:70" x14ac:dyDescent="0.2">
      <c r="W78" s="595" t="s">
        <v>481</v>
      </c>
      <c r="X78" s="517"/>
      <c r="Y78" s="517"/>
      <c r="Z78" s="517"/>
      <c r="AA78" s="517"/>
      <c r="AB78" s="517"/>
      <c r="AC78" s="517"/>
      <c r="AD78" s="517"/>
      <c r="AE78" s="517"/>
      <c r="AF78" s="517"/>
      <c r="AG78" s="517"/>
      <c r="AH78" s="517"/>
      <c r="AP78" s="517"/>
      <c r="AS78" s="517"/>
      <c r="AT78" s="517"/>
      <c r="AU78" s="595" t="s">
        <v>481</v>
      </c>
      <c r="AV78" s="517"/>
      <c r="AW78" s="517"/>
      <c r="AX78" s="517"/>
      <c r="AY78" s="517"/>
      <c r="AZ78" s="517"/>
      <c r="BA78" s="517"/>
    </row>
    <row r="79" spans="23:70" x14ac:dyDescent="0.2">
      <c r="W79" s="600" t="s">
        <v>498</v>
      </c>
      <c r="X79" s="517"/>
      <c r="Y79" s="517"/>
      <c r="Z79" s="517"/>
      <c r="AA79" s="517"/>
      <c r="AB79" s="517"/>
      <c r="AC79" s="517"/>
      <c r="AD79" s="517"/>
      <c r="AE79" s="517"/>
      <c r="AF79" s="517"/>
      <c r="AG79" s="517"/>
      <c r="AH79" s="517"/>
      <c r="AI79" s="517"/>
      <c r="AJ79" s="517"/>
      <c r="AK79" s="517"/>
      <c r="AL79" s="517"/>
      <c r="AM79" s="517"/>
      <c r="AN79" s="517"/>
      <c r="AO79" s="517"/>
      <c r="AP79" s="517"/>
      <c r="AR79" s="517"/>
      <c r="AS79" s="517"/>
      <c r="AT79" s="517"/>
      <c r="AU79" s="600" t="s">
        <v>498</v>
      </c>
      <c r="AV79" s="517">
        <f>620349</f>
        <v>620349</v>
      </c>
      <c r="AW79" s="517">
        <f t="shared" ref="AW79" si="31">620349</f>
        <v>620349</v>
      </c>
      <c r="AX79" s="517">
        <f>AW79+(AX59-AW59)*(1+$AV$79/$AA$59)*($AV$79/$AA$59)</f>
        <v>620349</v>
      </c>
      <c r="AY79" s="517">
        <f>AX79+(AY59-AX59)*(1+$AV$79/$AA$59)*($AV$79/$AA$59)</f>
        <v>620349</v>
      </c>
      <c r="AZ79" s="517">
        <f>AY79+(AZ59-AY59)*(1+$AV$79/$AA$59)*($AV$79/$AA$59)</f>
        <v>620349</v>
      </c>
      <c r="BA79" s="517">
        <f>AZ79+(BA59-AZ59)*(1+$AV$79/$AA$59)*($AV$79/$AA$59)</f>
        <v>620349</v>
      </c>
    </row>
    <row r="80" spans="23:70" x14ac:dyDescent="0.2">
      <c r="W80" s="600" t="s">
        <v>499</v>
      </c>
      <c r="X80" s="517"/>
      <c r="Y80" s="517"/>
      <c r="Z80" s="517"/>
      <c r="AA80" s="517"/>
      <c r="AB80" s="517"/>
      <c r="AC80" s="517"/>
      <c r="AD80" s="517"/>
      <c r="AE80" s="517"/>
      <c r="AF80" s="517"/>
      <c r="AG80" s="517"/>
      <c r="AH80" s="517"/>
      <c r="AI80" s="517"/>
      <c r="AJ80" s="517"/>
      <c r="AK80" s="517"/>
      <c r="AL80" s="517"/>
      <c r="AM80" s="517"/>
      <c r="AN80" s="517"/>
      <c r="AO80" s="517"/>
      <c r="AP80" s="517"/>
      <c r="AR80" s="517"/>
      <c r="AS80" s="517"/>
      <c r="AT80" s="517"/>
      <c r="AU80" s="600"/>
      <c r="AV80" s="517"/>
      <c r="AW80" s="517"/>
      <c r="AX80" s="517"/>
      <c r="AY80" s="517"/>
      <c r="AZ80" s="517"/>
      <c r="BA80" s="517"/>
    </row>
    <row r="81" spans="23:53" x14ac:dyDescent="0.2">
      <c r="W81" s="595" t="s">
        <v>482</v>
      </c>
      <c r="X81" s="517"/>
      <c r="Y81" s="517"/>
      <c r="Z81" s="517"/>
      <c r="AA81" s="517"/>
      <c r="AB81" s="517"/>
      <c r="AC81" s="517"/>
      <c r="AD81" s="517"/>
      <c r="AE81" s="517"/>
      <c r="AF81" s="517"/>
      <c r="AG81" s="517"/>
      <c r="AH81" s="517"/>
      <c r="AI81" s="517"/>
      <c r="AJ81" s="517"/>
      <c r="AK81" s="517"/>
      <c r="AL81" s="517"/>
      <c r="AM81" s="517"/>
      <c r="AN81" s="517"/>
      <c r="AO81" s="517"/>
      <c r="AP81" s="517"/>
      <c r="AR81" s="517"/>
      <c r="AS81" s="517"/>
      <c r="AT81" s="517"/>
      <c r="AU81" s="595" t="s">
        <v>482</v>
      </c>
      <c r="AV81" s="517">
        <f>$AH$60-$AI$60+ABS($AH$60-$AI$60)/$Y$60*(1+ABS($AH$60-$AI$60)/$Y$60)*(AV60-AU60)</f>
        <v>829.09021829508504</v>
      </c>
      <c r="AW81" s="517">
        <f>$AH$60-$AI$60+ABS($AH$60-$AI$60)/$Y$60*(1+ABS($AH$60-$AI$60)/$Y$60)*(AW60-AV60)+AV81</f>
        <v>1626.5327300063059</v>
      </c>
      <c r="AX81" s="517">
        <f t="shared" ref="AX81:BA81" si="32">$AH$60-$AI$60+ABS($AH$60-$AI$60)/$Y$60*(1+ABS($AH$60-$AI$60)/$Y$60)*(AX60-AW60)+AW81</f>
        <v>2426.1328082359928</v>
      </c>
      <c r="AY81" s="517">
        <f t="shared" si="32"/>
        <v>3213.5357885669287</v>
      </c>
      <c r="AZ81" s="517">
        <f t="shared" si="32"/>
        <v>4000.6276061068424</v>
      </c>
      <c r="BA81" s="517">
        <f t="shared" si="32"/>
        <v>4787.9783229410496</v>
      </c>
    </row>
    <row r="82" spans="23:53" x14ac:dyDescent="0.2">
      <c r="W82" s="595" t="s">
        <v>483</v>
      </c>
      <c r="X82" s="517"/>
      <c r="Y82" s="517"/>
      <c r="Z82" s="517"/>
      <c r="AA82" s="517"/>
      <c r="AB82" s="517"/>
      <c r="AC82" s="517"/>
      <c r="AD82" s="517"/>
      <c r="AE82" s="517"/>
      <c r="AF82" s="517"/>
      <c r="AG82" s="517"/>
      <c r="AH82" s="517"/>
      <c r="AI82" s="517"/>
      <c r="AJ82" s="517"/>
      <c r="AK82" s="517"/>
      <c r="AL82" s="517"/>
      <c r="AM82" s="517"/>
      <c r="AN82" s="517"/>
      <c r="AO82" s="517"/>
      <c r="AP82" s="517"/>
      <c r="AR82" s="517"/>
      <c r="AS82" s="517"/>
      <c r="AT82" s="517"/>
      <c r="AU82" s="595" t="s">
        <v>483</v>
      </c>
      <c r="AV82" s="517">
        <f>4345/$AA$61*(1+4345/$AA$61)*(AV61-AU61)+4345</f>
        <v>4346.9570518081864</v>
      </c>
      <c r="AW82" s="517">
        <f>4345/$AA$61*(1+4345/$AA$61)*(AW61-AV61)+AV82</f>
        <v>4425.685464526603</v>
      </c>
      <c r="AX82" s="517">
        <f t="shared" ref="AX82:BA82" si="33">4345/$AA$61*(1+4345/$AA$61)*(AX61-AW61)+AW82</f>
        <v>4515.4134989716968</v>
      </c>
      <c r="AY82" s="517">
        <f t="shared" si="33"/>
        <v>4542.958763198003</v>
      </c>
      <c r="AZ82" s="517">
        <f t="shared" si="33"/>
        <v>4568.9176693827994</v>
      </c>
      <c r="BA82" s="517">
        <f t="shared" si="33"/>
        <v>4596.1964858823676</v>
      </c>
    </row>
    <row r="83" spans="23:53" x14ac:dyDescent="0.2">
      <c r="W83" s="595" t="s">
        <v>484</v>
      </c>
      <c r="X83" s="517"/>
      <c r="Y83" s="517"/>
      <c r="Z83" s="517"/>
      <c r="AA83" s="517"/>
      <c r="AB83" s="517"/>
      <c r="AC83" s="517"/>
      <c r="AD83" s="517"/>
      <c r="AE83" s="517"/>
      <c r="AF83" s="517"/>
      <c r="AG83" s="517"/>
      <c r="AH83" s="517"/>
      <c r="AI83" s="517"/>
      <c r="AJ83" s="517"/>
      <c r="AK83" s="517"/>
      <c r="AL83" s="517"/>
      <c r="AM83" s="517"/>
      <c r="AN83" s="517"/>
      <c r="AO83" s="517"/>
      <c r="AP83" s="517"/>
      <c r="AR83" s="517"/>
      <c r="AS83" s="517"/>
      <c r="AT83" s="517"/>
      <c r="AU83" s="595" t="s">
        <v>484</v>
      </c>
      <c r="AV83" s="517">
        <v>8304</v>
      </c>
      <c r="AW83" s="517">
        <v>8304</v>
      </c>
      <c r="AX83" s="517">
        <v>8304</v>
      </c>
      <c r="AY83" s="517">
        <v>8304</v>
      </c>
      <c r="AZ83" s="517">
        <v>8304</v>
      </c>
      <c r="BA83" s="517">
        <v>8304</v>
      </c>
    </row>
    <row r="84" spans="23:53" x14ac:dyDescent="0.2">
      <c r="W84" s="595" t="s">
        <v>485</v>
      </c>
      <c r="X84" s="517"/>
      <c r="Y84" s="517"/>
      <c r="Z84" s="517"/>
      <c r="AA84" s="517"/>
      <c r="AB84" s="517"/>
      <c r="AC84" s="517"/>
      <c r="AD84" s="517"/>
      <c r="AE84" s="517"/>
      <c r="AF84" s="517"/>
      <c r="AG84" s="517"/>
      <c r="AH84" s="517"/>
      <c r="AI84" s="517"/>
      <c r="AJ84" s="517"/>
      <c r="AK84" s="517"/>
      <c r="AL84" s="517"/>
      <c r="AM84" s="517"/>
      <c r="AN84" s="517"/>
      <c r="AO84" s="517"/>
      <c r="AP84" s="517"/>
      <c r="AR84" s="517"/>
      <c r="AS84" s="517"/>
      <c r="AT84" s="517"/>
      <c r="AU84" s="595" t="s">
        <v>485</v>
      </c>
      <c r="AV84" s="517">
        <f>61/$AA$63*(1+61/$AA$63)*(AV63-AU63)+61</f>
        <v>61.886569756567532</v>
      </c>
      <c r="AW84" s="517">
        <f>61/$AA$63*(1+61/$AA$63)*(AW63-AV63)+AV84</f>
        <v>62.927541730352999</v>
      </c>
      <c r="AX84" s="517">
        <f t="shared" ref="AX84:BA84" si="34">61/$AA$63*(1+61/$AA$63)*(AX63-AW63)+AW84</f>
        <v>64.113954181652815</v>
      </c>
      <c r="AY84" s="517">
        <f t="shared" si="34"/>
        <v>64.478166377479198</v>
      </c>
      <c r="AZ84" s="517">
        <f t="shared" si="34"/>
        <v>64.821403245535322</v>
      </c>
      <c r="BA84" s="517">
        <f t="shared" si="34"/>
        <v>65.182092385244658</v>
      </c>
    </row>
    <row r="85" spans="23:53" x14ac:dyDescent="0.2">
      <c r="W85" s="595" t="s">
        <v>486</v>
      </c>
      <c r="X85" s="517"/>
      <c r="Y85" s="517"/>
      <c r="Z85" s="517"/>
      <c r="AA85" s="517"/>
      <c r="AB85" s="517"/>
      <c r="AC85" s="517"/>
      <c r="AD85" s="517"/>
      <c r="AE85" s="517"/>
      <c r="AF85" s="517"/>
      <c r="AG85" s="517"/>
      <c r="AH85" s="517"/>
      <c r="AI85" s="517"/>
      <c r="AJ85" s="517"/>
      <c r="AK85" s="517"/>
      <c r="AL85" s="517"/>
      <c r="AM85" s="517"/>
      <c r="AN85" s="517"/>
      <c r="AO85" s="517"/>
      <c r="AP85" s="517"/>
      <c r="AR85" s="517"/>
      <c r="AS85" s="517"/>
      <c r="AT85" s="517"/>
      <c r="AU85" s="595" t="s">
        <v>486</v>
      </c>
      <c r="AV85" s="517">
        <v>11649</v>
      </c>
      <c r="AW85" s="517">
        <v>11649</v>
      </c>
      <c r="AX85" s="517">
        <v>11649</v>
      </c>
      <c r="AY85" s="517">
        <v>11649</v>
      </c>
      <c r="AZ85" s="517">
        <v>11649</v>
      </c>
      <c r="BA85" s="517">
        <v>11649</v>
      </c>
    </row>
    <row r="86" spans="23:53" x14ac:dyDescent="0.2">
      <c r="W86" s="596" t="s">
        <v>487</v>
      </c>
      <c r="X86" s="517"/>
      <c r="Y86" s="517"/>
      <c r="Z86" s="517"/>
      <c r="AA86" s="517"/>
      <c r="AB86" s="517"/>
      <c r="AC86" s="517"/>
      <c r="AD86" s="517"/>
      <c r="AE86" s="517"/>
      <c r="AF86" s="517"/>
      <c r="AG86" s="517"/>
      <c r="AH86" s="517"/>
      <c r="AI86" s="517"/>
      <c r="AJ86" s="517"/>
      <c r="AK86" s="517"/>
      <c r="AL86" s="517"/>
      <c r="AM86" s="517"/>
      <c r="AN86" s="517"/>
      <c r="AO86" s="517"/>
      <c r="AP86" s="517"/>
      <c r="AR86" s="517"/>
      <c r="AS86" s="517"/>
      <c r="AT86" s="517"/>
      <c r="AU86" s="596" t="s">
        <v>487</v>
      </c>
      <c r="AV86" s="597">
        <f>SUM(AV81:AV85,AV75:AV77)+AV79</f>
        <v>649613.93383985979</v>
      </c>
      <c r="AW86" s="597">
        <f t="shared" ref="AW86:BA86" si="35">SUM(AW81:AW85,AW75:AW77)+AW79</f>
        <v>650491.14573626325</v>
      </c>
      <c r="AX86" s="597">
        <f t="shared" si="35"/>
        <v>651381.66026138933</v>
      </c>
      <c r="AY86" s="597">
        <f>SUM(AY81:AY85,AY75:AY77)+AX79</f>
        <v>652196.97271814244</v>
      </c>
      <c r="AZ86" s="597">
        <f t="shared" si="35"/>
        <v>653010.36667873512</v>
      </c>
      <c r="BA86" s="597">
        <f t="shared" si="35"/>
        <v>653825.35690120864</v>
      </c>
    </row>
    <row r="87" spans="23:53" x14ac:dyDescent="0.2">
      <c r="W87" s="595"/>
      <c r="X87" s="517"/>
      <c r="Y87" s="517"/>
      <c r="Z87" s="517"/>
      <c r="AA87" s="517"/>
      <c r="AB87" s="517"/>
      <c r="AC87" s="517"/>
      <c r="AD87" s="517"/>
      <c r="AE87" s="517"/>
      <c r="AF87" s="517"/>
      <c r="AG87" s="517"/>
      <c r="AH87" s="517"/>
      <c r="AI87" s="517"/>
      <c r="AJ87" s="517"/>
      <c r="AK87" s="517"/>
      <c r="AL87" s="517"/>
      <c r="AM87" s="517"/>
      <c r="AN87" s="517"/>
      <c r="AO87" s="517"/>
      <c r="AP87" s="517"/>
      <c r="AR87" s="517"/>
      <c r="AS87" s="517"/>
      <c r="AT87" s="517"/>
      <c r="AU87" s="595"/>
      <c r="AV87" s="517"/>
      <c r="AW87" s="517"/>
      <c r="AX87" s="517"/>
      <c r="AY87" s="517"/>
      <c r="AZ87" s="517"/>
      <c r="BA87" s="517"/>
    </row>
    <row r="88" spans="23:53" x14ac:dyDescent="0.2">
      <c r="W88" s="595" t="s">
        <v>500</v>
      </c>
      <c r="X88" s="517"/>
      <c r="Y88" s="517"/>
      <c r="Z88" s="517"/>
      <c r="AA88" s="517"/>
      <c r="AB88" s="517"/>
      <c r="AC88" s="517"/>
      <c r="AD88" s="517"/>
      <c r="AE88" s="517"/>
      <c r="AF88" s="517"/>
      <c r="AG88" s="517"/>
      <c r="AH88" s="517"/>
      <c r="AI88" s="517"/>
      <c r="AJ88" s="517"/>
      <c r="AK88" s="517"/>
      <c r="AL88" s="517"/>
      <c r="AM88" s="517"/>
      <c r="AN88" s="517"/>
      <c r="AO88" s="517"/>
      <c r="AP88" s="517"/>
      <c r="AR88" s="517"/>
      <c r="AS88" s="517"/>
      <c r="AT88" s="517"/>
      <c r="AW88" s="517"/>
      <c r="AX88" s="517"/>
      <c r="AY88" s="517"/>
      <c r="AZ88" s="517"/>
      <c r="BA88" s="517"/>
    </row>
    <row r="89" spans="23:53" x14ac:dyDescent="0.2">
      <c r="W89" s="595" t="s">
        <v>501</v>
      </c>
      <c r="X89" s="517"/>
      <c r="Y89" s="517"/>
      <c r="Z89" s="517"/>
      <c r="AA89" s="517"/>
      <c r="AB89" s="517"/>
      <c r="AC89" s="517"/>
      <c r="AD89" s="517"/>
      <c r="AE89" s="517"/>
      <c r="AF89" s="517"/>
      <c r="AG89" s="517"/>
      <c r="AH89" s="517"/>
      <c r="AI89" s="517"/>
      <c r="AJ89" s="517"/>
      <c r="AK89" s="517"/>
      <c r="AL89" s="517"/>
      <c r="AM89" s="517"/>
      <c r="AN89" s="517"/>
      <c r="AO89" s="517"/>
      <c r="AP89" s="517"/>
      <c r="AR89" s="517"/>
      <c r="AS89" s="517"/>
      <c r="AT89" s="517"/>
      <c r="AU89" s="595" t="s">
        <v>500</v>
      </c>
      <c r="AV89" s="517">
        <f>ABS(AL68-AK68)</f>
        <v>339395.38152608834</v>
      </c>
      <c r="AW89" s="517">
        <f t="shared" ref="AW89:AZ89" si="36">ABS(AM68-AL68)</f>
        <v>403335.91873369459</v>
      </c>
      <c r="AX89" s="517">
        <f t="shared" si="36"/>
        <v>429424.5896526454</v>
      </c>
      <c r="AY89" s="517">
        <f t="shared" si="36"/>
        <v>472517.48358126916</v>
      </c>
      <c r="AZ89" s="517">
        <f t="shared" si="36"/>
        <v>516192.71391433384</v>
      </c>
      <c r="BA89" s="517">
        <f>ABS(AQ68-AP68)</f>
        <v>575591.02716730163</v>
      </c>
    </row>
    <row r="90" spans="23:53" x14ac:dyDescent="0.2">
      <c r="W90" s="595" t="s">
        <v>502</v>
      </c>
      <c r="X90" s="517"/>
      <c r="Y90" s="517"/>
      <c r="Z90" s="517"/>
      <c r="AA90" s="517"/>
      <c r="AB90" s="517"/>
      <c r="AC90" s="517"/>
      <c r="AD90" s="517"/>
      <c r="AE90" s="517"/>
      <c r="AF90" s="517"/>
      <c r="AG90" s="517"/>
      <c r="AH90" s="517"/>
      <c r="AI90" s="517"/>
      <c r="AJ90" s="517"/>
      <c r="AK90" s="517"/>
      <c r="AL90" s="517"/>
      <c r="AM90" s="517"/>
      <c r="AN90" s="517"/>
      <c r="AO90" s="517"/>
      <c r="AP90" s="517"/>
      <c r="AR90" s="517"/>
      <c r="AS90" s="517"/>
      <c r="AT90" s="517"/>
      <c r="AU90" s="595"/>
      <c r="AV90" s="517"/>
      <c r="AW90" s="517"/>
      <c r="AX90" s="517"/>
      <c r="AY90" s="517"/>
      <c r="AZ90" s="517"/>
      <c r="BA90" s="517"/>
    </row>
    <row r="91" spans="23:53" x14ac:dyDescent="0.2">
      <c r="W91" s="596" t="s">
        <v>489</v>
      </c>
      <c r="X91" s="517"/>
      <c r="Y91" s="517"/>
      <c r="Z91" s="517"/>
      <c r="AA91" s="517"/>
      <c r="AB91" s="517"/>
      <c r="AC91" s="517"/>
      <c r="AD91" s="517"/>
      <c r="AE91" s="517"/>
      <c r="AF91" s="517"/>
      <c r="AG91" s="517"/>
      <c r="AH91" s="517"/>
      <c r="AI91" s="517"/>
      <c r="AJ91" s="517"/>
      <c r="AK91" s="517"/>
      <c r="AL91" s="517"/>
      <c r="AM91" s="517"/>
      <c r="AN91" s="517"/>
      <c r="AO91" s="517"/>
      <c r="AP91" s="517"/>
      <c r="AR91" s="517"/>
      <c r="AS91" s="517"/>
      <c r="AT91" s="517"/>
      <c r="AU91" s="596" t="s">
        <v>489</v>
      </c>
      <c r="AV91" s="598">
        <f>SUM(AV89:AV90)</f>
        <v>339395.38152608834</v>
      </c>
      <c r="AW91" s="598">
        <f t="shared" ref="AW91:BA91" si="37">SUM(AW89:AW90)</f>
        <v>403335.91873369459</v>
      </c>
      <c r="AX91" s="598">
        <f t="shared" si="37"/>
        <v>429424.5896526454</v>
      </c>
      <c r="AY91" s="598">
        <f t="shared" si="37"/>
        <v>472517.48358126916</v>
      </c>
      <c r="AZ91" s="598">
        <f t="shared" si="37"/>
        <v>516192.71391433384</v>
      </c>
      <c r="BA91" s="598">
        <f t="shared" si="37"/>
        <v>575591.02716730163</v>
      </c>
    </row>
    <row r="92" spans="23:53" x14ac:dyDescent="0.2">
      <c r="W92" s="595"/>
      <c r="X92" s="517"/>
      <c r="Y92" s="517"/>
      <c r="Z92" s="517"/>
      <c r="AA92" s="517"/>
      <c r="AB92" s="517"/>
      <c r="AC92" s="517"/>
      <c r="AD92" s="517"/>
      <c r="AE92" s="517"/>
      <c r="AF92" s="517"/>
      <c r="AG92" s="517"/>
      <c r="AH92" s="517"/>
      <c r="AI92" s="517"/>
      <c r="AJ92" s="517"/>
      <c r="AK92" s="517"/>
      <c r="AL92" s="517"/>
      <c r="AM92" s="517"/>
      <c r="AN92" s="517"/>
      <c r="AO92" s="517"/>
      <c r="AP92" s="517"/>
      <c r="AR92" s="517"/>
      <c r="AS92" s="517"/>
      <c r="AT92" s="517"/>
      <c r="AU92" s="595"/>
      <c r="AV92" s="517"/>
      <c r="AW92" s="517"/>
      <c r="AX92" s="517"/>
      <c r="AY92" s="517"/>
      <c r="AZ92" s="517"/>
      <c r="BA92" s="517"/>
    </row>
    <row r="93" spans="23:53" x14ac:dyDescent="0.2">
      <c r="W93" s="602" t="s">
        <v>275</v>
      </c>
      <c r="X93" s="517"/>
      <c r="Y93" s="517"/>
      <c r="Z93" s="517"/>
      <c r="AA93" s="517"/>
      <c r="AB93" s="517"/>
      <c r="AC93" s="517"/>
      <c r="AD93" s="517"/>
      <c r="AE93" s="517"/>
      <c r="AF93" s="517"/>
      <c r="AG93" s="517"/>
      <c r="AH93" s="517"/>
      <c r="AI93" s="517"/>
      <c r="AJ93" s="517"/>
      <c r="AK93" s="517"/>
      <c r="AL93" s="517"/>
      <c r="AM93" s="517"/>
      <c r="AN93" s="517"/>
      <c r="AO93" s="517"/>
      <c r="AP93" s="517"/>
      <c r="AR93" s="517"/>
      <c r="AS93" s="517"/>
      <c r="AT93" s="517"/>
      <c r="AU93" s="602" t="s">
        <v>275</v>
      </c>
      <c r="AV93" s="598">
        <f t="shared" ref="AV93:BA93" si="38">AV86+AV91</f>
        <v>989009.31536594813</v>
      </c>
      <c r="AW93" s="598">
        <f t="shared" si="38"/>
        <v>1053827.0644699577</v>
      </c>
      <c r="AX93" s="598">
        <f t="shared" si="38"/>
        <v>1080806.2499140347</v>
      </c>
      <c r="AY93" s="598">
        <f t="shared" si="38"/>
        <v>1124714.4562994116</v>
      </c>
      <c r="AZ93" s="598">
        <f t="shared" si="38"/>
        <v>1169203.0805930691</v>
      </c>
      <c r="BA93" s="598">
        <f t="shared" si="38"/>
        <v>1229416.3840685103</v>
      </c>
    </row>
    <row r="94" spans="23:53" x14ac:dyDescent="0.2">
      <c r="W94" s="604" t="s">
        <v>404</v>
      </c>
      <c r="AU94" s="730" t="s">
        <v>503</v>
      </c>
      <c r="AV94" s="731">
        <f>AV93+$W$21</f>
        <v>1183741.594526784</v>
      </c>
      <c r="AW94" s="731">
        <f t="shared" ref="AW94:BA94" si="39">AW93+$W$21</f>
        <v>1248559.3436307937</v>
      </c>
      <c r="AX94" s="731">
        <f t="shared" si="39"/>
        <v>1275538.5290748707</v>
      </c>
      <c r="AY94" s="731">
        <f t="shared" si="39"/>
        <v>1319446.7354602476</v>
      </c>
      <c r="AZ94" s="731">
        <f t="shared" si="39"/>
        <v>1363935.3597539051</v>
      </c>
      <c r="BA94" s="731">
        <f t="shared" si="39"/>
        <v>1424148.6632293463</v>
      </c>
    </row>
    <row r="95" spans="23:53" x14ac:dyDescent="0.2">
      <c r="W95" s="604"/>
      <c r="AU95" s="531" t="s">
        <v>504</v>
      </c>
      <c r="AV95" s="517">
        <v>1172000</v>
      </c>
      <c r="AW95" s="517">
        <v>1251000</v>
      </c>
      <c r="AX95" s="517">
        <v>1379000</v>
      </c>
      <c r="AY95" s="517">
        <v>1475000</v>
      </c>
      <c r="AZ95" s="517">
        <v>1536000</v>
      </c>
      <c r="BA95" s="517">
        <v>1628000</v>
      </c>
    </row>
    <row r="96" spans="23:53" x14ac:dyDescent="0.2">
      <c r="W96" s="604"/>
      <c r="AU96" s="732" t="s">
        <v>505</v>
      </c>
      <c r="AV96" s="528">
        <f>AV94-AV95</f>
        <v>11741.594526784029</v>
      </c>
      <c r="AW96" s="528">
        <f t="shared" ref="AW96:BA96" si="40">AW94-AW95</f>
        <v>-2440.6563692062628</v>
      </c>
      <c r="AX96" s="528">
        <f t="shared" si="40"/>
        <v>-103461.47092512925</v>
      </c>
      <c r="AY96" s="528">
        <f t="shared" si="40"/>
        <v>-155553.26453975239</v>
      </c>
      <c r="AZ96" s="528">
        <f t="shared" si="40"/>
        <v>-172064.6402460949</v>
      </c>
      <c r="BA96" s="528">
        <f t="shared" si="40"/>
        <v>-203851.33677065372</v>
      </c>
    </row>
    <row r="97" spans="23:60" x14ac:dyDescent="0.2">
      <c r="W97" s="604"/>
      <c r="AU97" s="732"/>
      <c r="AV97" s="528"/>
      <c r="AW97" s="528"/>
      <c r="AX97" s="528"/>
      <c r="AY97" s="528"/>
      <c r="AZ97" s="528"/>
      <c r="BA97" s="528"/>
    </row>
    <row r="98" spans="23:60" x14ac:dyDescent="0.2">
      <c r="W98" s="595" t="s">
        <v>479</v>
      </c>
      <c r="AU98" s="604" t="s">
        <v>404</v>
      </c>
    </row>
    <row r="99" spans="23:60" x14ac:dyDescent="0.2">
      <c r="W99" s="595" t="s">
        <v>480</v>
      </c>
      <c r="AU99" s="595" t="s">
        <v>478</v>
      </c>
      <c r="AV99" s="517">
        <f t="shared" ref="AV99:BA101" si="41">AV75</f>
        <v>0</v>
      </c>
      <c r="AW99" s="517">
        <f t="shared" si="41"/>
        <v>0</v>
      </c>
      <c r="AX99" s="517">
        <f t="shared" si="41"/>
        <v>0</v>
      </c>
      <c r="AY99" s="517">
        <f t="shared" si="41"/>
        <v>0</v>
      </c>
      <c r="AZ99" s="517">
        <f t="shared" si="41"/>
        <v>0</v>
      </c>
      <c r="BA99" s="517">
        <f t="shared" si="41"/>
        <v>0</v>
      </c>
    </row>
    <row r="100" spans="23:60" x14ac:dyDescent="0.2">
      <c r="W100" s="595" t="s">
        <v>481</v>
      </c>
      <c r="AU100" s="595" t="s">
        <v>479</v>
      </c>
      <c r="AV100" s="517">
        <f t="shared" si="41"/>
        <v>0</v>
      </c>
      <c r="AW100" s="517">
        <f t="shared" si="41"/>
        <v>0</v>
      </c>
      <c r="AX100" s="517">
        <f t="shared" si="41"/>
        <v>0</v>
      </c>
      <c r="AY100" s="517">
        <f t="shared" si="41"/>
        <v>0</v>
      </c>
      <c r="AZ100" s="517">
        <f t="shared" si="41"/>
        <v>0</v>
      </c>
      <c r="BA100" s="517">
        <f t="shared" si="41"/>
        <v>0</v>
      </c>
    </row>
    <row r="101" spans="23:60" x14ac:dyDescent="0.2">
      <c r="W101" s="600" t="s">
        <v>498</v>
      </c>
      <c r="AU101" s="595" t="s">
        <v>480</v>
      </c>
      <c r="AV101" s="517">
        <f>AV77</f>
        <v>4074</v>
      </c>
      <c r="AW101" s="517">
        <f t="shared" si="41"/>
        <v>4074</v>
      </c>
      <c r="AX101" s="517">
        <f t="shared" si="41"/>
        <v>4074</v>
      </c>
      <c r="AY101" s="517">
        <f t="shared" si="41"/>
        <v>4074</v>
      </c>
      <c r="AZ101" s="517">
        <f t="shared" si="41"/>
        <v>4074</v>
      </c>
      <c r="BA101" s="517">
        <f t="shared" si="41"/>
        <v>4074</v>
      </c>
    </row>
    <row r="102" spans="23:60" x14ac:dyDescent="0.2">
      <c r="W102" s="600" t="s">
        <v>499</v>
      </c>
      <c r="AU102" s="595" t="s">
        <v>481</v>
      </c>
      <c r="AV102" s="517"/>
      <c r="AW102" s="517"/>
      <c r="AX102" s="517"/>
      <c r="AY102" s="517"/>
      <c r="AZ102" s="517"/>
      <c r="BA102" s="517"/>
    </row>
    <row r="103" spans="23:60" x14ac:dyDescent="0.2">
      <c r="W103" s="595" t="s">
        <v>482</v>
      </c>
      <c r="AU103" s="600" t="s">
        <v>498</v>
      </c>
      <c r="AV103" s="517">
        <f t="shared" ref="AV103:BA103" si="42">AV79+(AV59-AU59)*(1+$AV$79/$AA$59)</f>
        <v>620349</v>
      </c>
      <c r="AW103" s="517">
        <f t="shared" si="42"/>
        <v>620349</v>
      </c>
      <c r="AX103" s="517">
        <f t="shared" si="42"/>
        <v>620349</v>
      </c>
      <c r="AY103" s="517">
        <f t="shared" si="42"/>
        <v>620349</v>
      </c>
      <c r="AZ103" s="517">
        <f t="shared" si="42"/>
        <v>620349</v>
      </c>
      <c r="BA103" s="517">
        <f t="shared" si="42"/>
        <v>620349</v>
      </c>
    </row>
    <row r="104" spans="23:60" x14ac:dyDescent="0.2">
      <c r="W104" s="595" t="s">
        <v>483</v>
      </c>
      <c r="AU104" s="600" t="s">
        <v>499</v>
      </c>
      <c r="AV104" s="517"/>
      <c r="AW104" s="517"/>
      <c r="AX104" s="517"/>
      <c r="AY104" s="517"/>
      <c r="AZ104" s="517"/>
      <c r="BA104" s="517"/>
    </row>
    <row r="105" spans="23:60" x14ac:dyDescent="0.2">
      <c r="W105" s="595" t="s">
        <v>484</v>
      </c>
      <c r="AU105" s="595" t="s">
        <v>482</v>
      </c>
      <c r="AV105" s="517">
        <f>(1+ABS($AH$60-$AI$60)/$Y$60)*(AV60-AU60)+AV81</f>
        <v>2855.8965704382713</v>
      </c>
      <c r="AW105" s="517">
        <f t="shared" ref="AW105:BA105" si="43">(1+ABS($AH$60-$AI$60)/$Y$60)*(AW60-AV60)+AW81</f>
        <v>2291.1926522266031</v>
      </c>
      <c r="AX105" s="517">
        <f t="shared" si="43"/>
        <v>3183.6563799173191</v>
      </c>
      <c r="AY105" s="517">
        <f t="shared" si="43"/>
        <v>3446.0850366214531</v>
      </c>
      <c r="AZ105" s="517">
        <f t="shared" si="43"/>
        <v>4219.7841211431796</v>
      </c>
      <c r="BA105" s="517">
        <f t="shared" si="43"/>
        <v>5018.2781019765198</v>
      </c>
    </row>
    <row r="106" spans="23:60" x14ac:dyDescent="0.2">
      <c r="W106" s="595" t="s">
        <v>485</v>
      </c>
      <c r="AU106" s="595" t="s">
        <v>483</v>
      </c>
      <c r="AV106" s="517">
        <f>(AV61-AU61)*(1+4345/$AA$61)+AV82</f>
        <v>4413.1617047605741</v>
      </c>
      <c r="AW106" s="517">
        <f t="shared" ref="AW106:BA106" si="44">(AW61-AV61)*(1+4345/$AA$61)+AW82</f>
        <v>7088.9707284688666</v>
      </c>
      <c r="AX106" s="517">
        <f t="shared" si="44"/>
        <v>7550.8024220894376</v>
      </c>
      <c r="AY106" s="517">
        <f t="shared" si="44"/>
        <v>5474.781135480579</v>
      </c>
      <c r="AZ106" s="517">
        <f t="shared" si="44"/>
        <v>5447.0755024043056</v>
      </c>
      <c r="BA106" s="517">
        <f t="shared" si="44"/>
        <v>5519.0052596465821</v>
      </c>
      <c r="BC106" s="507"/>
      <c r="BD106" s="507"/>
      <c r="BE106" s="507"/>
      <c r="BF106" s="507"/>
      <c r="BG106" s="507"/>
    </row>
    <row r="107" spans="23:60" x14ac:dyDescent="0.2">
      <c r="W107" s="595" t="s">
        <v>486</v>
      </c>
      <c r="AU107" s="595" t="s">
        <v>484</v>
      </c>
      <c r="AV107" s="517">
        <f t="shared" ref="AV107:BA109" si="45">AV62-AU62+AV83</f>
        <v>18235.159081600963</v>
      </c>
      <c r="AW107" s="517">
        <f t="shared" si="45"/>
        <v>15753.924235883555</v>
      </c>
      <c r="AX107" s="517">
        <f t="shared" si="45"/>
        <v>16794.798116831967</v>
      </c>
      <c r="AY107" s="517">
        <f t="shared" si="45"/>
        <v>10910.557460739568</v>
      </c>
      <c r="AZ107" s="517">
        <f t="shared" si="45"/>
        <v>10760.443330247683</v>
      </c>
      <c r="BA107" s="517">
        <f t="shared" si="45"/>
        <v>10885.344004650717</v>
      </c>
    </row>
    <row r="108" spans="23:60" x14ac:dyDescent="0.2">
      <c r="W108" s="596" t="s">
        <v>487</v>
      </c>
      <c r="AU108" s="595" t="s">
        <v>485</v>
      </c>
      <c r="AV108" s="517">
        <f t="shared" ref="AV108:BA108" si="46">(1+61/$AA$63)*(AV63-AU63)+AV84</f>
        <v>776.75247215870866</v>
      </c>
      <c r="AW108" s="517">
        <f t="shared" si="46"/>
        <v>902.29225488792827</v>
      </c>
      <c r="AX108" s="517">
        <f t="shared" si="46"/>
        <v>1020.7513776182574</v>
      </c>
      <c r="AY108" s="517">
        <f t="shared" si="46"/>
        <v>358.15261004823833</v>
      </c>
      <c r="AZ108" s="517">
        <f t="shared" si="46"/>
        <v>341.58285557682154</v>
      </c>
      <c r="BA108" s="517">
        <f t="shared" si="46"/>
        <v>356.01579772529863</v>
      </c>
    </row>
    <row r="109" spans="23:60" x14ac:dyDescent="0.2">
      <c r="W109" s="595"/>
      <c r="AU109" s="595" t="s">
        <v>486</v>
      </c>
      <c r="AV109" s="517">
        <f t="shared" si="45"/>
        <v>11649</v>
      </c>
      <c r="AW109" s="517">
        <f t="shared" si="45"/>
        <v>11649</v>
      </c>
      <c r="AX109" s="517">
        <f t="shared" si="45"/>
        <v>11649</v>
      </c>
      <c r="AY109" s="517">
        <f t="shared" si="45"/>
        <v>11649</v>
      </c>
      <c r="AZ109" s="517">
        <f t="shared" si="45"/>
        <v>11649</v>
      </c>
      <c r="BA109" s="517">
        <f t="shared" si="45"/>
        <v>11649</v>
      </c>
      <c r="BD109" s="507"/>
      <c r="BE109" s="507"/>
      <c r="BF109" s="507"/>
      <c r="BG109" s="507"/>
      <c r="BH109" s="507"/>
    </row>
    <row r="110" spans="23:60" x14ac:dyDescent="0.2">
      <c r="W110" s="595" t="s">
        <v>500</v>
      </c>
      <c r="AU110" s="596" t="s">
        <v>487</v>
      </c>
      <c r="AV110" s="597"/>
      <c r="AW110" s="597"/>
      <c r="AX110" s="597"/>
      <c r="AY110" s="597"/>
      <c r="AZ110" s="597"/>
      <c r="BA110" s="597"/>
    </row>
    <row r="111" spans="23:60" x14ac:dyDescent="0.2">
      <c r="W111" s="595" t="s">
        <v>501</v>
      </c>
      <c r="AU111" s="595" t="s">
        <v>506</v>
      </c>
      <c r="AV111" s="517">
        <f>SUM(AV99:AV109)</f>
        <v>662352.96982895862</v>
      </c>
      <c r="AW111" s="517">
        <f t="shared" ref="AW111:BA111" si="47">SUM(AW99:AW109)</f>
        <v>662108.3798714669</v>
      </c>
      <c r="AX111" s="517">
        <f t="shared" si="47"/>
        <v>664622.00829645689</v>
      </c>
      <c r="AY111" s="517">
        <f t="shared" si="47"/>
        <v>656261.57624288974</v>
      </c>
      <c r="AZ111" s="517">
        <f t="shared" si="47"/>
        <v>656840.88580937195</v>
      </c>
      <c r="BA111" s="517">
        <f t="shared" si="47"/>
        <v>657850.64316399908</v>
      </c>
      <c r="BC111" s="517"/>
      <c r="BD111" s="517"/>
      <c r="BE111" s="517"/>
      <c r="BF111" s="517"/>
      <c r="BG111" s="517"/>
      <c r="BH111" s="517"/>
    </row>
    <row r="112" spans="23:60" x14ac:dyDescent="0.2">
      <c r="W112" s="595" t="s">
        <v>502</v>
      </c>
      <c r="AU112" s="595" t="s">
        <v>500</v>
      </c>
      <c r="AV112" s="517">
        <f>AV68-AU68+AV89</f>
        <v>374000</v>
      </c>
      <c r="AW112" s="517">
        <f t="shared" ref="AW112:BA112" si="48">AW68-AV68+AW89</f>
        <v>1098000</v>
      </c>
      <c r="AX112" s="517">
        <f t="shared" si="48"/>
        <v>448000</v>
      </c>
      <c r="AY112" s="517">
        <f t="shared" si="48"/>
        <v>740000</v>
      </c>
      <c r="AZ112" s="517">
        <f t="shared" si="48"/>
        <v>750000</v>
      </c>
      <c r="BA112" s="517">
        <f t="shared" si="48"/>
        <v>1020000</v>
      </c>
      <c r="BC112" s="507"/>
      <c r="BD112" s="507"/>
      <c r="BE112" s="507"/>
      <c r="BF112" s="507"/>
      <c r="BG112" s="507"/>
      <c r="BH112" s="507"/>
    </row>
    <row r="113" spans="23:60" x14ac:dyDescent="0.2">
      <c r="W113" s="596" t="s">
        <v>489</v>
      </c>
      <c r="AU113" s="595" t="s">
        <v>507</v>
      </c>
      <c r="AV113" s="517">
        <f>$W$21</f>
        <v>194732.27916083598</v>
      </c>
      <c r="AW113" s="517">
        <f t="shared" ref="AW113:BA113" si="49">$W$21</f>
        <v>194732.27916083598</v>
      </c>
      <c r="AX113" s="517">
        <f t="shared" si="49"/>
        <v>194732.27916083598</v>
      </c>
      <c r="AY113" s="517">
        <f t="shared" si="49"/>
        <v>194732.27916083598</v>
      </c>
      <c r="AZ113" s="517">
        <f t="shared" si="49"/>
        <v>194732.27916083598</v>
      </c>
      <c r="BA113" s="517">
        <f t="shared" si="49"/>
        <v>194732.27916083598</v>
      </c>
    </row>
    <row r="114" spans="23:60" x14ac:dyDescent="0.2">
      <c r="W114" s="595"/>
      <c r="AU114" s="733" t="s">
        <v>508</v>
      </c>
      <c r="AV114" s="734">
        <f>AV111+AV113+AV112</f>
        <v>1231085.2489897946</v>
      </c>
      <c r="AW114" s="734">
        <f t="shared" ref="AW114:BA114" si="50">AW111+AW113+AW112</f>
        <v>1954840.6590323029</v>
      </c>
      <c r="AX114" s="734">
        <f t="shared" si="50"/>
        <v>1307354.2874572929</v>
      </c>
      <c r="AY114" s="734">
        <f t="shared" si="50"/>
        <v>1590993.8554037258</v>
      </c>
      <c r="AZ114" s="734">
        <f t="shared" si="50"/>
        <v>1601573.164970208</v>
      </c>
      <c r="BA114" s="734">
        <f t="shared" si="50"/>
        <v>1872582.9223248351</v>
      </c>
      <c r="BC114" s="507"/>
      <c r="BD114" s="507"/>
      <c r="BE114" s="507"/>
      <c r="BF114" s="507"/>
      <c r="BG114" s="507"/>
      <c r="BH114" s="507"/>
    </row>
    <row r="115" spans="23:60" x14ac:dyDescent="0.2">
      <c r="W115" s="602" t="s">
        <v>275</v>
      </c>
      <c r="AU115" s="595" t="s">
        <v>509</v>
      </c>
      <c r="AV115" s="517">
        <v>915000</v>
      </c>
      <c r="AW115" s="517">
        <v>1165000</v>
      </c>
      <c r="AX115" s="517">
        <v>1301000</v>
      </c>
      <c r="AY115" s="517">
        <v>1068000</v>
      </c>
      <c r="AZ115" s="517">
        <v>1024000</v>
      </c>
      <c r="BA115" s="517">
        <v>1068000</v>
      </c>
    </row>
    <row r="116" spans="23:60" x14ac:dyDescent="0.2">
      <c r="AU116" s="732" t="s">
        <v>505</v>
      </c>
      <c r="AV116" s="528">
        <f>AV114-AV115</f>
        <v>316085.24898979464</v>
      </c>
      <c r="AW116" s="528">
        <f t="shared" ref="AW116:BA116" si="51">AW114-AW115</f>
        <v>789840.65903230291</v>
      </c>
      <c r="AX116" s="528">
        <f t="shared" si="51"/>
        <v>6354.2874572928995</v>
      </c>
      <c r="AY116" s="528">
        <f t="shared" si="51"/>
        <v>522993.85540372576</v>
      </c>
      <c r="AZ116" s="528">
        <f t="shared" si="51"/>
        <v>577573.16497020796</v>
      </c>
      <c r="BA116" s="528">
        <f t="shared" si="51"/>
        <v>804582.92232483509</v>
      </c>
      <c r="BC116" s="517"/>
      <c r="BD116" s="517"/>
      <c r="BE116" s="517"/>
      <c r="BF116" s="517"/>
      <c r="BG116" s="517"/>
      <c r="BH116" s="517"/>
    </row>
    <row r="117" spans="23:60" x14ac:dyDescent="0.2">
      <c r="AU117" s="602"/>
      <c r="AV117" s="598"/>
      <c r="AW117" s="598"/>
      <c r="AX117" s="598"/>
      <c r="AY117" s="598"/>
      <c r="AZ117" s="598"/>
      <c r="BA117" s="598"/>
    </row>
  </sheetData>
  <mergeCells count="8">
    <mergeCell ref="AR54:BA54"/>
    <mergeCell ref="X54:AG54"/>
    <mergeCell ref="AH54:AQ54"/>
    <mergeCell ref="A1:K3"/>
    <mergeCell ref="D13:D14"/>
    <mergeCell ref="E13:E14"/>
    <mergeCell ref="F13:F14"/>
    <mergeCell ref="G13:L13"/>
  </mergeCells>
  <phoneticPr fontId="30" type="noConversion"/>
  <pageMargins left="0.7" right="0.7" top="0.75" bottom="0.75" header="0.3" footer="0.3"/>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CB04E-A5C6-41D2-93D9-33F3DCA0DF36}">
  <dimension ref="A1:BR117"/>
  <sheetViews>
    <sheetView topLeftCell="D1" zoomScale="42" zoomScaleNormal="111" workbookViewId="0">
      <selection activeCell="B19" sqref="B19"/>
    </sheetView>
  </sheetViews>
  <sheetFormatPr baseColWidth="10" defaultColWidth="10.83203125" defaultRowHeight="16" x14ac:dyDescent="0.2"/>
  <cols>
    <col min="1" max="1" width="49" style="531" bestFit="1" customWidth="1"/>
    <col min="2" max="2" width="29.83203125" style="531" customWidth="1"/>
    <col min="3" max="3" width="10.83203125" style="531"/>
    <col min="4" max="4" width="21.83203125" style="531" bestFit="1" customWidth="1"/>
    <col min="5" max="5" width="11.6640625" style="531" customWidth="1"/>
    <col min="6" max="7" width="10.83203125" style="531"/>
    <col min="8" max="8" width="12.5" style="531" bestFit="1" customWidth="1"/>
    <col min="9" max="9" width="9.5" style="531" customWidth="1"/>
    <col min="10" max="15" width="10.83203125" style="531"/>
    <col min="16" max="16" width="12" style="531" bestFit="1" customWidth="1"/>
    <col min="17" max="21" width="10.83203125" style="531"/>
    <col min="22" max="22" width="27.83203125" style="531" bestFit="1" customWidth="1"/>
    <col min="23" max="23" width="29" style="531" customWidth="1"/>
    <col min="24" max="45" width="10.83203125" style="531"/>
    <col min="46" max="46" width="15" style="531" customWidth="1"/>
    <col min="47" max="47" width="20.33203125" style="531" customWidth="1"/>
    <col min="48" max="16384" width="10.83203125" style="531"/>
  </cols>
  <sheetData>
    <row r="1" spans="1:31" x14ac:dyDescent="0.2">
      <c r="A1" s="1219" t="s">
        <v>404</v>
      </c>
      <c r="B1" s="1219"/>
      <c r="C1" s="1219"/>
      <c r="D1" s="1219"/>
      <c r="E1" s="1219"/>
      <c r="F1" s="1219"/>
      <c r="G1" s="1219"/>
      <c r="H1" s="1219"/>
      <c r="I1" s="1219"/>
      <c r="J1" s="1219"/>
      <c r="K1" s="1219"/>
    </row>
    <row r="2" spans="1:31" x14ac:dyDescent="0.2">
      <c r="A2" s="1219"/>
      <c r="B2" s="1219"/>
      <c r="C2" s="1219"/>
      <c r="D2" s="1219"/>
      <c r="E2" s="1219"/>
      <c r="F2" s="1219"/>
      <c r="G2" s="1219"/>
      <c r="H2" s="1219"/>
      <c r="I2" s="1219"/>
      <c r="J2" s="1219"/>
      <c r="K2" s="1219"/>
    </row>
    <row r="3" spans="1:31" s="532" customFormat="1" ht="17" thickBot="1" x14ac:dyDescent="0.25">
      <c r="A3" s="1220"/>
      <c r="B3" s="1220"/>
      <c r="C3" s="1220"/>
      <c r="D3" s="1220"/>
      <c r="E3" s="1220"/>
      <c r="F3" s="1220"/>
      <c r="G3" s="1220"/>
      <c r="H3" s="1220"/>
      <c r="I3" s="1220"/>
      <c r="J3" s="1220"/>
      <c r="K3" s="1220"/>
    </row>
    <row r="4" spans="1:31" ht="18" thickTop="1" thickBot="1" x14ac:dyDescent="0.25"/>
    <row r="5" spans="1:31" ht="31" x14ac:dyDescent="0.35">
      <c r="A5" s="534" t="s">
        <v>405</v>
      </c>
      <c r="D5" s="533"/>
      <c r="E5" s="508">
        <v>2019</v>
      </c>
      <c r="F5" s="508">
        <v>2020</v>
      </c>
      <c r="G5" s="508">
        <v>2021</v>
      </c>
      <c r="H5" s="509" t="s">
        <v>0</v>
      </c>
      <c r="I5" s="509" t="s">
        <v>1</v>
      </c>
      <c r="J5" s="509" t="s">
        <v>2</v>
      </c>
      <c r="K5" s="509" t="s">
        <v>3</v>
      </c>
      <c r="L5" s="509" t="s">
        <v>4</v>
      </c>
      <c r="M5" s="510" t="s">
        <v>5</v>
      </c>
      <c r="P5" s="603" t="s">
        <v>406</v>
      </c>
    </row>
    <row r="6" spans="1:31" x14ac:dyDescent="0.2">
      <c r="A6" s="531" t="s">
        <v>407</v>
      </c>
      <c r="D6" s="511" t="s">
        <v>408</v>
      </c>
      <c r="E6" s="507">
        <v>-601</v>
      </c>
      <c r="F6" s="507">
        <v>0</v>
      </c>
      <c r="G6" s="507">
        <v>0</v>
      </c>
      <c r="H6" s="507">
        <v>0</v>
      </c>
      <c r="I6" s="507">
        <v>0</v>
      </c>
      <c r="J6" s="507">
        <v>0</v>
      </c>
      <c r="K6" s="507">
        <v>0</v>
      </c>
      <c r="L6" s="507">
        <v>0</v>
      </c>
      <c r="M6" s="512">
        <v>0</v>
      </c>
    </row>
    <row r="7" spans="1:31" x14ac:dyDescent="0.2">
      <c r="A7" s="531" t="s">
        <v>409</v>
      </c>
      <c r="D7" s="511" t="s">
        <v>410</v>
      </c>
      <c r="E7" s="507">
        <v>-700</v>
      </c>
      <c r="F7" s="507">
        <v>0</v>
      </c>
      <c r="G7" s="507">
        <v>-537</v>
      </c>
      <c r="H7" s="507">
        <v>-374</v>
      </c>
      <c r="I7" s="507">
        <v>-1098</v>
      </c>
      <c r="J7" s="507">
        <v>-448</v>
      </c>
      <c r="K7" s="507">
        <v>-740</v>
      </c>
      <c r="L7" s="507">
        <v>-750</v>
      </c>
      <c r="M7" s="512">
        <v>-1020</v>
      </c>
    </row>
    <row r="8" spans="1:31" ht="17" thickBot="1" x14ac:dyDescent="0.25">
      <c r="A8" s="531" t="s">
        <v>411</v>
      </c>
      <c r="D8" s="511" t="s">
        <v>412</v>
      </c>
      <c r="E8" s="507">
        <v>-1206</v>
      </c>
      <c r="F8" s="507">
        <v>-426</v>
      </c>
      <c r="G8" s="507">
        <v>-846</v>
      </c>
      <c r="H8" s="507">
        <v>-915</v>
      </c>
      <c r="I8" s="507">
        <v>-1165</v>
      </c>
      <c r="J8" s="507">
        <v>-1301</v>
      </c>
      <c r="K8" s="507">
        <v>-1068</v>
      </c>
      <c r="L8" s="507">
        <v>-1024</v>
      </c>
      <c r="M8" s="512">
        <v>-1068</v>
      </c>
      <c r="V8" s="531" t="s">
        <v>413</v>
      </c>
      <c r="W8" s="531" t="s">
        <v>414</v>
      </c>
    </row>
    <row r="9" spans="1:31" x14ac:dyDescent="0.2">
      <c r="A9" s="531" t="s">
        <v>415</v>
      </c>
      <c r="D9" s="511" t="s">
        <v>416</v>
      </c>
      <c r="E9" s="507">
        <v>309</v>
      </c>
      <c r="F9" s="507">
        <v>26</v>
      </c>
      <c r="G9" s="507">
        <v>124</v>
      </c>
      <c r="H9" s="507">
        <v>89</v>
      </c>
      <c r="I9" s="507">
        <v>50</v>
      </c>
      <c r="J9" s="507">
        <v>8</v>
      </c>
      <c r="K9" s="507">
        <v>-66</v>
      </c>
      <c r="L9" s="507">
        <v>-183</v>
      </c>
      <c r="M9" s="512">
        <v>-374</v>
      </c>
      <c r="W9" s="531" t="s">
        <v>417</v>
      </c>
      <c r="X9" s="531" t="s">
        <v>418</v>
      </c>
      <c r="Z9" s="509" t="s">
        <v>0</v>
      </c>
      <c r="AA9" s="509" t="s">
        <v>1</v>
      </c>
      <c r="AB9" s="509" t="s">
        <v>2</v>
      </c>
      <c r="AC9" s="509" t="s">
        <v>3</v>
      </c>
      <c r="AD9" s="509" t="s">
        <v>4</v>
      </c>
      <c r="AE9" s="510" t="s">
        <v>5</v>
      </c>
    </row>
    <row r="10" spans="1:31" ht="17" thickBot="1" x14ac:dyDescent="0.25">
      <c r="D10" s="513" t="s">
        <v>419</v>
      </c>
      <c r="E10" s="514">
        <f>SUM(E6:E9)</f>
        <v>-2198</v>
      </c>
      <c r="F10" s="514">
        <f t="shared" ref="F10:M10" si="0">SUM(F6:F9)</f>
        <v>-400</v>
      </c>
      <c r="G10" s="514">
        <f t="shared" si="0"/>
        <v>-1259</v>
      </c>
      <c r="H10" s="514">
        <f t="shared" si="0"/>
        <v>-1200</v>
      </c>
      <c r="I10" s="514">
        <f t="shared" si="0"/>
        <v>-2213</v>
      </c>
      <c r="J10" s="514">
        <f t="shared" si="0"/>
        <v>-1741</v>
      </c>
      <c r="K10" s="514">
        <f t="shared" si="0"/>
        <v>-1874</v>
      </c>
      <c r="L10" s="514">
        <f t="shared" si="0"/>
        <v>-1957</v>
      </c>
      <c r="M10" s="515">
        <f t="shared" si="0"/>
        <v>-2462</v>
      </c>
      <c r="V10" s="531" t="s">
        <v>420</v>
      </c>
      <c r="W10" s="531">
        <v>587214</v>
      </c>
      <c r="X10" s="531">
        <v>627742</v>
      </c>
      <c r="Z10" s="592">
        <f>$W$10</f>
        <v>587214</v>
      </c>
      <c r="AA10" s="592">
        <f t="shared" ref="AA10:AE10" si="1">$W$10</f>
        <v>587214</v>
      </c>
      <c r="AB10" s="592">
        <f t="shared" si="1"/>
        <v>587214</v>
      </c>
      <c r="AC10" s="592">
        <f t="shared" si="1"/>
        <v>587214</v>
      </c>
      <c r="AD10" s="592">
        <f t="shared" si="1"/>
        <v>587214</v>
      </c>
      <c r="AE10" s="592">
        <f t="shared" si="1"/>
        <v>587214</v>
      </c>
    </row>
    <row r="11" spans="1:31" x14ac:dyDescent="0.2">
      <c r="A11" s="534" t="s">
        <v>421</v>
      </c>
      <c r="D11" s="531" t="s">
        <v>422</v>
      </c>
      <c r="E11" s="507">
        <f>E7+E6</f>
        <v>-1301</v>
      </c>
      <c r="F11" s="507">
        <f t="shared" ref="F11:M11" si="2">F7+F6</f>
        <v>0</v>
      </c>
      <c r="G11" s="507">
        <f t="shared" si="2"/>
        <v>-537</v>
      </c>
      <c r="H11" s="507">
        <f t="shared" si="2"/>
        <v>-374</v>
      </c>
      <c r="I11" s="507">
        <f t="shared" si="2"/>
        <v>-1098</v>
      </c>
      <c r="J11" s="507">
        <f t="shared" si="2"/>
        <v>-448</v>
      </c>
      <c r="K11" s="507">
        <f t="shared" si="2"/>
        <v>-740</v>
      </c>
      <c r="L11" s="507">
        <f t="shared" si="2"/>
        <v>-750</v>
      </c>
      <c r="M11" s="507">
        <f t="shared" si="2"/>
        <v>-1020</v>
      </c>
      <c r="V11" s="531" t="s">
        <v>423</v>
      </c>
      <c r="W11" s="531">
        <v>190542</v>
      </c>
      <c r="X11" s="531">
        <v>204615</v>
      </c>
      <c r="Z11" s="592">
        <f>$W$11</f>
        <v>190542</v>
      </c>
      <c r="AA11" s="592">
        <f t="shared" ref="AA11:AE11" si="3">$W$11</f>
        <v>190542</v>
      </c>
      <c r="AB11" s="592">
        <f t="shared" si="3"/>
        <v>190542</v>
      </c>
      <c r="AC11" s="592">
        <f t="shared" si="3"/>
        <v>190542</v>
      </c>
      <c r="AD11" s="592">
        <f t="shared" si="3"/>
        <v>190542</v>
      </c>
      <c r="AE11" s="592">
        <f t="shared" si="3"/>
        <v>190542</v>
      </c>
    </row>
    <row r="12" spans="1:31" ht="17" thickBot="1" x14ac:dyDescent="0.25">
      <c r="A12" s="531" t="s">
        <v>424</v>
      </c>
      <c r="V12" s="531" t="s">
        <v>425</v>
      </c>
      <c r="W12" s="531">
        <v>136135</v>
      </c>
      <c r="X12" s="531">
        <v>139113</v>
      </c>
      <c r="Z12" s="592">
        <f>$W$12+$W$13</f>
        <v>241009</v>
      </c>
      <c r="AA12" s="592">
        <f t="shared" ref="AA12:AE12" si="4">$W$12+$W$13</f>
        <v>241009</v>
      </c>
      <c r="AB12" s="592">
        <f t="shared" si="4"/>
        <v>241009</v>
      </c>
      <c r="AC12" s="592">
        <f t="shared" si="4"/>
        <v>241009</v>
      </c>
      <c r="AD12" s="592">
        <f t="shared" si="4"/>
        <v>241009</v>
      </c>
      <c r="AE12" s="592">
        <f t="shared" si="4"/>
        <v>241009</v>
      </c>
    </row>
    <row r="13" spans="1:31" ht="18" customHeight="1" x14ac:dyDescent="0.2">
      <c r="A13" s="531" t="s">
        <v>426</v>
      </c>
      <c r="D13" s="1221" t="s">
        <v>427</v>
      </c>
      <c r="E13" s="1223" t="s">
        <v>428</v>
      </c>
      <c r="F13" s="1225" t="s">
        <v>429</v>
      </c>
      <c r="G13" s="1225" t="s">
        <v>430</v>
      </c>
      <c r="H13" s="1225"/>
      <c r="I13" s="1225"/>
      <c r="J13" s="1225"/>
      <c r="K13" s="1225"/>
      <c r="L13" s="1227"/>
      <c r="V13" s="531" t="s">
        <v>431</v>
      </c>
      <c r="W13" s="531">
        <v>104874</v>
      </c>
      <c r="X13" s="531">
        <v>68521</v>
      </c>
      <c r="Z13" s="592">
        <f>SUM(Z10:Z12)</f>
        <v>1018765</v>
      </c>
      <c r="AA13" s="592">
        <f t="shared" ref="AA13:AE13" si="5">SUM(AA10:AA12)</f>
        <v>1018765</v>
      </c>
      <c r="AB13" s="592">
        <f t="shared" si="5"/>
        <v>1018765</v>
      </c>
      <c r="AC13" s="592">
        <f t="shared" si="5"/>
        <v>1018765</v>
      </c>
      <c r="AD13" s="592">
        <f t="shared" si="5"/>
        <v>1018765</v>
      </c>
      <c r="AE13" s="592">
        <f t="shared" si="5"/>
        <v>1018765</v>
      </c>
    </row>
    <row r="14" spans="1:31" ht="27" customHeight="1" x14ac:dyDescent="0.2">
      <c r="D14" s="1222"/>
      <c r="E14" s="1224"/>
      <c r="F14" s="1226"/>
      <c r="G14" s="544">
        <v>2022</v>
      </c>
      <c r="H14" s="544" t="s">
        <v>432</v>
      </c>
      <c r="I14" s="544" t="s">
        <v>433</v>
      </c>
      <c r="J14" s="544" t="s">
        <v>434</v>
      </c>
      <c r="K14" s="544" t="s">
        <v>435</v>
      </c>
      <c r="L14" s="553" t="s">
        <v>436</v>
      </c>
      <c r="Q14" s="506"/>
      <c r="V14" s="531" t="s">
        <v>437</v>
      </c>
      <c r="W14" s="531" t="s">
        <v>58</v>
      </c>
      <c r="X14" s="531">
        <v>6340</v>
      </c>
    </row>
    <row r="15" spans="1:31" s="534" customFormat="1" x14ac:dyDescent="0.2">
      <c r="A15" s="531" t="s">
        <v>438</v>
      </c>
      <c r="B15" s="531"/>
      <c r="C15" s="531"/>
      <c r="D15" s="554" t="s">
        <v>439</v>
      </c>
      <c r="E15" s="555">
        <f>SUM(E16:E22)</f>
        <v>249</v>
      </c>
      <c r="F15" s="555">
        <f>SUM(F16:F22)</f>
        <v>-15</v>
      </c>
      <c r="G15" s="555">
        <f>SUM(G16:G22)</f>
        <v>234</v>
      </c>
      <c r="H15" s="555">
        <f>SUM(H16)</f>
        <v>244</v>
      </c>
      <c r="I15" s="555">
        <f t="shared" ref="I15:L15" si="6">SUM(I16)</f>
        <v>223</v>
      </c>
      <c r="J15" s="555">
        <f t="shared" si="6"/>
        <v>237</v>
      </c>
      <c r="K15" s="555">
        <f t="shared" si="6"/>
        <v>234</v>
      </c>
      <c r="L15" s="555">
        <f t="shared" si="6"/>
        <v>246</v>
      </c>
      <c r="M15" s="545"/>
      <c r="N15" s="545"/>
      <c r="O15" s="545"/>
      <c r="P15" s="545"/>
      <c r="Q15" s="545"/>
      <c r="V15" s="531" t="s">
        <v>440</v>
      </c>
      <c r="W15" s="531">
        <v>127</v>
      </c>
      <c r="X15" s="531">
        <v>228</v>
      </c>
    </row>
    <row r="16" spans="1:31" x14ac:dyDescent="0.2">
      <c r="D16" s="557" t="s">
        <v>441</v>
      </c>
      <c r="E16" s="558">
        <v>46</v>
      </c>
      <c r="F16" s="558">
        <v>-6</v>
      </c>
      <c r="G16" s="550">
        <v>40</v>
      </c>
      <c r="H16" s="550">
        <v>244</v>
      </c>
      <c r="I16" s="550">
        <v>223</v>
      </c>
      <c r="J16" s="550">
        <v>237</v>
      </c>
      <c r="K16" s="550">
        <v>234</v>
      </c>
      <c r="L16" s="559">
        <v>246</v>
      </c>
      <c r="M16" s="535"/>
      <c r="N16" s="535"/>
      <c r="O16" s="535"/>
      <c r="P16" s="535"/>
      <c r="Q16" s="535"/>
      <c r="V16" s="531" t="s">
        <v>442</v>
      </c>
      <c r="W16" s="534">
        <f>SUM(W10:W15)</f>
        <v>1018892</v>
      </c>
      <c r="X16" s="534">
        <f>SUM(X10:X15)</f>
        <v>1046559</v>
      </c>
    </row>
    <row r="17" spans="1:23" x14ac:dyDescent="0.2">
      <c r="D17" s="557" t="s">
        <v>443</v>
      </c>
      <c r="E17" s="558">
        <v>141</v>
      </c>
      <c r="F17" s="558">
        <v>-13</v>
      </c>
      <c r="G17" s="550">
        <v>128</v>
      </c>
      <c r="H17" s="550"/>
      <c r="I17" s="550"/>
      <c r="J17" s="550"/>
      <c r="K17" s="550"/>
      <c r="L17" s="559"/>
      <c r="M17" s="535"/>
      <c r="N17" s="535"/>
      <c r="O17" s="535"/>
      <c r="P17" s="535"/>
      <c r="Q17" s="535"/>
    </row>
    <row r="18" spans="1:23" x14ac:dyDescent="0.2">
      <c r="D18" s="557" t="s">
        <v>444</v>
      </c>
      <c r="E18" s="550">
        <v>13</v>
      </c>
      <c r="F18" s="550">
        <v>4</v>
      </c>
      <c r="G18" s="550">
        <v>17</v>
      </c>
      <c r="H18" s="550"/>
      <c r="I18" s="550"/>
      <c r="J18" s="550"/>
      <c r="K18" s="550"/>
      <c r="L18" s="559"/>
      <c r="M18" s="535"/>
      <c r="N18" s="535"/>
      <c r="O18" s="535"/>
      <c r="P18" s="535"/>
      <c r="Q18" s="535"/>
      <c r="V18" s="589" t="s">
        <v>445</v>
      </c>
      <c r="W18" s="589">
        <v>162468</v>
      </c>
    </row>
    <row r="19" spans="1:23" x14ac:dyDescent="0.2">
      <c r="D19" s="557" t="s">
        <v>446</v>
      </c>
      <c r="E19" s="550">
        <v>49</v>
      </c>
      <c r="F19" s="550"/>
      <c r="G19" s="550">
        <v>49</v>
      </c>
      <c r="H19" s="550"/>
      <c r="I19" s="550"/>
      <c r="J19" s="550"/>
      <c r="K19" s="550"/>
      <c r="L19" s="559"/>
      <c r="M19" s="535"/>
      <c r="N19" s="535"/>
      <c r="O19" s="535"/>
      <c r="P19" s="535"/>
      <c r="Q19" s="535"/>
      <c r="V19" s="531" t="s">
        <v>447</v>
      </c>
      <c r="W19" s="531">
        <f>528097</f>
        <v>528097</v>
      </c>
    </row>
    <row r="20" spans="1:23" x14ac:dyDescent="0.2">
      <c r="D20" s="557" t="s">
        <v>448</v>
      </c>
      <c r="E20" s="550"/>
      <c r="F20" s="550"/>
      <c r="G20" s="550"/>
      <c r="H20" s="550"/>
      <c r="I20" s="550"/>
      <c r="J20" s="550"/>
      <c r="K20" s="550"/>
      <c r="L20" s="559"/>
      <c r="M20" s="535"/>
      <c r="N20" s="535"/>
      <c r="O20" s="535"/>
      <c r="P20" s="535"/>
      <c r="Q20" s="535"/>
      <c r="W20" s="531">
        <f>W18/W19</f>
        <v>0.30764802678295844</v>
      </c>
    </row>
    <row r="21" spans="1:23" x14ac:dyDescent="0.2">
      <c r="D21" s="557" t="s">
        <v>449</v>
      </c>
      <c r="E21" s="550"/>
      <c r="F21" s="550"/>
      <c r="G21" s="550"/>
      <c r="H21" s="605">
        <f>ABS(H7/H33)</f>
        <v>23.375</v>
      </c>
      <c r="I21" s="605">
        <f t="shared" ref="I21:L21" si="7">ABS(I7/I33)</f>
        <v>52.285714285714285</v>
      </c>
      <c r="J21" s="605">
        <f t="shared" si="7"/>
        <v>32</v>
      </c>
      <c r="K21" s="605">
        <f t="shared" si="7"/>
        <v>740</v>
      </c>
      <c r="L21" s="605">
        <f t="shared" si="7"/>
        <v>62.5</v>
      </c>
      <c r="M21" s="535"/>
      <c r="N21" s="535"/>
      <c r="O21" s="535"/>
      <c r="P21" s="535"/>
      <c r="Q21" s="535"/>
      <c r="V21" s="531" t="s">
        <v>450</v>
      </c>
      <c r="W21" s="531">
        <f>W18+W20*W13</f>
        <v>194732.27916083598</v>
      </c>
    </row>
    <row r="22" spans="1:23" ht="17" thickBot="1" x14ac:dyDescent="0.25">
      <c r="D22" s="560" t="s">
        <v>451</v>
      </c>
      <c r="E22" s="549"/>
      <c r="F22" s="549"/>
      <c r="G22" s="549"/>
      <c r="H22" s="549">
        <f>H15-G15</f>
        <v>10</v>
      </c>
      <c r="I22" s="549">
        <f t="shared" ref="I22:L22" si="8">I15-H15</f>
        <v>-21</v>
      </c>
      <c r="J22" s="549">
        <f t="shared" si="8"/>
        <v>14</v>
      </c>
      <c r="K22" s="549">
        <f t="shared" si="8"/>
        <v>-3</v>
      </c>
      <c r="L22" s="561">
        <f t="shared" si="8"/>
        <v>12</v>
      </c>
      <c r="M22" s="548"/>
      <c r="N22" s="547"/>
      <c r="O22" s="535"/>
      <c r="P22" s="535"/>
      <c r="Q22" s="535"/>
    </row>
    <row r="23" spans="1:23" s="534" customFormat="1" ht="17" thickTop="1" x14ac:dyDescent="0.2">
      <c r="A23" s="531"/>
      <c r="B23" s="531"/>
      <c r="C23" s="531"/>
      <c r="D23" s="554" t="s">
        <v>452</v>
      </c>
      <c r="E23" s="555">
        <f>SUM(E24:E28)</f>
        <v>79</v>
      </c>
      <c r="F23" s="555">
        <f>SUM(F24:F28)</f>
        <v>-23</v>
      </c>
      <c r="G23" s="555">
        <f>SUM(G24:G28)</f>
        <v>56</v>
      </c>
      <c r="H23" s="555">
        <v>56</v>
      </c>
      <c r="I23" s="555">
        <v>59</v>
      </c>
      <c r="J23" s="555">
        <v>59</v>
      </c>
      <c r="K23" s="555">
        <v>61</v>
      </c>
      <c r="L23" s="556">
        <v>61</v>
      </c>
      <c r="M23" s="546"/>
      <c r="N23" s="546"/>
      <c r="O23" s="546"/>
      <c r="P23" s="546"/>
      <c r="Q23" s="546"/>
    </row>
    <row r="24" spans="1:23" x14ac:dyDescent="0.2">
      <c r="D24" s="557" t="s">
        <v>453</v>
      </c>
      <c r="E24" s="558">
        <v>13</v>
      </c>
      <c r="F24" s="550">
        <v>-13</v>
      </c>
      <c r="H24" s="550"/>
      <c r="I24" s="550"/>
      <c r="J24" s="550"/>
      <c r="K24" s="550"/>
      <c r="L24" s="559"/>
      <c r="M24" s="535"/>
      <c r="N24" s="535"/>
      <c r="O24" s="535"/>
      <c r="P24" s="535"/>
      <c r="Q24" s="535"/>
    </row>
    <row r="25" spans="1:23" x14ac:dyDescent="0.2">
      <c r="D25" s="557" t="s">
        <v>454</v>
      </c>
      <c r="E25" s="558">
        <v>30</v>
      </c>
      <c r="F25" s="558">
        <v>-15</v>
      </c>
      <c r="G25" s="550">
        <v>15</v>
      </c>
      <c r="H25" s="558"/>
      <c r="I25" s="558"/>
      <c r="J25" s="558"/>
      <c r="K25" s="550"/>
      <c r="L25" s="559"/>
      <c r="M25" s="536"/>
      <c r="N25" s="536"/>
      <c r="O25" s="536"/>
      <c r="P25" s="536"/>
      <c r="Q25" s="506"/>
    </row>
    <row r="26" spans="1:23" x14ac:dyDescent="0.2">
      <c r="D26" s="557" t="s">
        <v>455</v>
      </c>
      <c r="E26" s="558">
        <v>10</v>
      </c>
      <c r="F26" s="550"/>
      <c r="G26" s="558">
        <v>10</v>
      </c>
      <c r="H26" s="550"/>
      <c r="I26" s="550"/>
      <c r="J26" s="550"/>
      <c r="K26" s="550"/>
      <c r="L26" s="559"/>
      <c r="M26" s="535"/>
      <c r="N26" s="535"/>
      <c r="O26" s="535"/>
      <c r="P26" s="535"/>
      <c r="Q26" s="506"/>
    </row>
    <row r="27" spans="1:23" x14ac:dyDescent="0.2">
      <c r="D27" s="557" t="s">
        <v>456</v>
      </c>
      <c r="E27" s="558">
        <v>10</v>
      </c>
      <c r="F27" s="558"/>
      <c r="G27" s="550">
        <v>10</v>
      </c>
      <c r="H27" s="558"/>
      <c r="I27" s="558"/>
      <c r="J27" s="558"/>
      <c r="K27" s="558"/>
      <c r="L27" s="562"/>
      <c r="M27" s="506"/>
      <c r="N27" s="506"/>
      <c r="O27" s="506"/>
      <c r="P27" s="506"/>
      <c r="Q27" s="506"/>
    </row>
    <row r="28" spans="1:23" x14ac:dyDescent="0.2">
      <c r="D28" s="557" t="s">
        <v>457</v>
      </c>
      <c r="E28" s="558">
        <v>16</v>
      </c>
      <c r="F28" s="563">
        <v>5</v>
      </c>
      <c r="G28" s="558">
        <v>21</v>
      </c>
      <c r="H28" s="563"/>
      <c r="I28" s="563"/>
      <c r="J28" s="563"/>
      <c r="K28" s="563"/>
      <c r="L28" s="564"/>
      <c r="M28" s="538"/>
      <c r="N28" s="538"/>
      <c r="O28" s="538"/>
      <c r="P28" s="538"/>
      <c r="Q28" s="506"/>
    </row>
    <row r="29" spans="1:23" x14ac:dyDescent="0.2">
      <c r="D29" s="557" t="s">
        <v>451</v>
      </c>
      <c r="E29" s="558"/>
      <c r="F29" s="563"/>
      <c r="G29" s="558"/>
      <c r="H29" s="563">
        <f>H23-G23</f>
        <v>0</v>
      </c>
      <c r="I29" s="563">
        <f t="shared" ref="I29:L29" si="9">I23-H23</f>
        <v>3</v>
      </c>
      <c r="J29" s="563">
        <f t="shared" si="9"/>
        <v>0</v>
      </c>
      <c r="K29" s="563">
        <f t="shared" si="9"/>
        <v>2</v>
      </c>
      <c r="L29" s="564">
        <f t="shared" si="9"/>
        <v>0</v>
      </c>
      <c r="M29" s="538"/>
      <c r="N29" s="538"/>
      <c r="O29" s="538"/>
      <c r="P29" s="538"/>
      <c r="Q29" s="506"/>
    </row>
    <row r="30" spans="1:23" s="534" customFormat="1" x14ac:dyDescent="0.2">
      <c r="A30" s="531"/>
      <c r="B30" s="531"/>
      <c r="C30" s="531"/>
      <c r="D30" s="565" t="s">
        <v>458</v>
      </c>
      <c r="E30" s="552">
        <f>E15+E23</f>
        <v>328</v>
      </c>
      <c r="F30" s="552">
        <f>SUM(F24:F28,F16:F22)</f>
        <v>-38</v>
      </c>
      <c r="G30" s="552">
        <f t="shared" ref="G30:L30" si="10">G15+G23</f>
        <v>290</v>
      </c>
      <c r="H30" s="552">
        <f t="shared" si="10"/>
        <v>300</v>
      </c>
      <c r="I30" s="552">
        <f t="shared" si="10"/>
        <v>282</v>
      </c>
      <c r="J30" s="552">
        <f t="shared" si="10"/>
        <v>296</v>
      </c>
      <c r="K30" s="552">
        <f t="shared" si="10"/>
        <v>295</v>
      </c>
      <c r="L30" s="566">
        <f t="shared" si="10"/>
        <v>307</v>
      </c>
      <c r="M30" s="535"/>
      <c r="N30" s="535"/>
      <c r="O30" s="535"/>
      <c r="P30" s="535"/>
      <c r="Q30" s="535"/>
      <c r="R30" s="535"/>
    </row>
    <row r="31" spans="1:23" x14ac:dyDescent="0.2">
      <c r="D31" s="557" t="s">
        <v>459</v>
      </c>
      <c r="E31" s="558">
        <v>12</v>
      </c>
      <c r="F31" s="558">
        <v>4</v>
      </c>
      <c r="G31" s="558">
        <v>16</v>
      </c>
      <c r="H31" s="558">
        <f>H32-H30</f>
        <v>22</v>
      </c>
      <c r="I31" s="558">
        <f t="shared" ref="I31:L31" si="11">I32-I30</f>
        <v>19</v>
      </c>
      <c r="J31" s="558">
        <f t="shared" si="11"/>
        <v>19</v>
      </c>
      <c r="K31" s="558">
        <f t="shared" si="11"/>
        <v>19</v>
      </c>
      <c r="L31" s="562">
        <f t="shared" si="11"/>
        <v>19</v>
      </c>
      <c r="M31" s="535"/>
      <c r="N31" s="535"/>
      <c r="O31" s="535"/>
      <c r="P31" s="535"/>
      <c r="Q31" s="535"/>
      <c r="R31" s="535"/>
    </row>
    <row r="32" spans="1:23" ht="17" thickBot="1" x14ac:dyDescent="0.25">
      <c r="D32" s="567" t="s">
        <v>460</v>
      </c>
      <c r="E32" s="551">
        <f>SUM(E30:E31)</f>
        <v>340</v>
      </c>
      <c r="F32" s="551">
        <f t="shared" ref="F32:G32" si="12">SUM(F30:F31)</f>
        <v>-34</v>
      </c>
      <c r="G32" s="551">
        <f t="shared" si="12"/>
        <v>306</v>
      </c>
      <c r="H32" s="551">
        <v>322</v>
      </c>
      <c r="I32" s="551">
        <v>301</v>
      </c>
      <c r="J32" s="551">
        <v>315</v>
      </c>
      <c r="K32" s="551">
        <v>314</v>
      </c>
      <c r="L32" s="568">
        <v>326</v>
      </c>
      <c r="M32" s="535"/>
      <c r="N32" s="535"/>
      <c r="O32" s="535"/>
      <c r="P32" s="535"/>
      <c r="Q32" s="535"/>
      <c r="R32" s="535"/>
      <c r="S32" s="506"/>
      <c r="T32" s="506"/>
    </row>
    <row r="33" spans="4:47" ht="17" thickTop="1" x14ac:dyDescent="0.2">
      <c r="D33" s="554" t="s">
        <v>451</v>
      </c>
      <c r="E33" s="555"/>
      <c r="F33" s="555"/>
      <c r="G33" s="555"/>
      <c r="H33" s="555">
        <f>H32-G32</f>
        <v>16</v>
      </c>
      <c r="I33" s="555">
        <f t="shared" ref="I33:L33" si="13">I32-H32</f>
        <v>-21</v>
      </c>
      <c r="J33" s="555">
        <f t="shared" si="13"/>
        <v>14</v>
      </c>
      <c r="K33" s="555">
        <f t="shared" si="13"/>
        <v>-1</v>
      </c>
      <c r="L33" s="556">
        <f t="shared" si="13"/>
        <v>12</v>
      </c>
      <c r="M33" s="535"/>
      <c r="N33" s="535"/>
      <c r="O33" s="535"/>
      <c r="P33" s="535"/>
      <c r="Q33" s="535"/>
      <c r="R33" s="535"/>
      <c r="S33" s="506"/>
      <c r="T33" s="506"/>
    </row>
    <row r="34" spans="4:47" x14ac:dyDescent="0.2">
      <c r="D34" s="557" t="s">
        <v>461</v>
      </c>
      <c r="E34" s="569"/>
      <c r="F34" s="569"/>
      <c r="G34" s="569"/>
      <c r="H34" s="569"/>
      <c r="I34" s="569"/>
      <c r="J34" s="569"/>
      <c r="K34" s="569"/>
      <c r="L34" s="570"/>
      <c r="M34" s="535"/>
      <c r="N34" s="535"/>
      <c r="O34" s="535"/>
      <c r="P34" s="535"/>
      <c r="Q34" s="535"/>
      <c r="R34" s="535"/>
      <c r="S34" s="506"/>
      <c r="T34" s="506"/>
    </row>
    <row r="35" spans="4:47" x14ac:dyDescent="0.2">
      <c r="D35" s="557" t="s">
        <v>462</v>
      </c>
      <c r="E35" s="572"/>
      <c r="F35" s="572">
        <v>-6</v>
      </c>
      <c r="G35" s="572"/>
      <c r="H35" s="572"/>
      <c r="I35" s="572"/>
      <c r="J35" s="572"/>
      <c r="K35" s="572"/>
      <c r="L35" s="573"/>
      <c r="M35" s="535"/>
      <c r="N35" s="535"/>
      <c r="O35" s="535"/>
      <c r="P35" s="535"/>
      <c r="Q35" s="535"/>
      <c r="R35" s="535"/>
      <c r="S35" s="506"/>
      <c r="T35" s="506"/>
    </row>
    <row r="36" spans="4:47" ht="17" thickBot="1" x14ac:dyDescent="0.25">
      <c r="D36" s="571" t="s">
        <v>463</v>
      </c>
      <c r="E36" s="574">
        <f>E32+SUM(E34:E35)</f>
        <v>340</v>
      </c>
      <c r="F36" s="574">
        <f t="shared" ref="F36:L36" si="14">F32+SUM(F34:F35)</f>
        <v>-40</v>
      </c>
      <c r="G36" s="574">
        <f t="shared" si="14"/>
        <v>306</v>
      </c>
      <c r="H36" s="574">
        <f t="shared" si="14"/>
        <v>322</v>
      </c>
      <c r="I36" s="574">
        <f t="shared" si="14"/>
        <v>301</v>
      </c>
      <c r="J36" s="574">
        <f t="shared" si="14"/>
        <v>315</v>
      </c>
      <c r="K36" s="574">
        <f t="shared" si="14"/>
        <v>314</v>
      </c>
      <c r="L36" s="575">
        <f t="shared" si="14"/>
        <v>326</v>
      </c>
      <c r="M36" s="535"/>
      <c r="N36" s="535"/>
      <c r="O36" s="535"/>
      <c r="P36" s="535"/>
      <c r="Q36" s="535"/>
      <c r="R36" s="535"/>
      <c r="S36" s="506"/>
      <c r="T36" s="506"/>
    </row>
    <row r="37" spans="4:47" x14ac:dyDescent="0.2">
      <c r="D37" s="537"/>
      <c r="E37" s="539"/>
      <c r="F37" s="539"/>
      <c r="G37" s="539"/>
      <c r="H37" s="539"/>
      <c r="I37" s="539"/>
      <c r="J37" s="539"/>
      <c r="K37" s="539"/>
      <c r="L37" s="539"/>
      <c r="M37" s="535"/>
      <c r="N37" s="535"/>
      <c r="O37" s="535"/>
      <c r="P37" s="535"/>
      <c r="Q37" s="535"/>
      <c r="R37" s="535"/>
      <c r="S37" s="506"/>
      <c r="T37" s="506"/>
    </row>
    <row r="38" spans="4:47" x14ac:dyDescent="0.2">
      <c r="D38" s="539"/>
      <c r="E38" s="539"/>
      <c r="F38" s="539"/>
      <c r="G38" s="539"/>
      <c r="H38" s="539"/>
      <c r="I38" s="539"/>
      <c r="J38" s="539"/>
      <c r="K38" s="539"/>
      <c r="L38" s="539"/>
      <c r="M38" s="539"/>
      <c r="N38" s="539"/>
      <c r="O38" s="539"/>
      <c r="P38" s="539"/>
      <c r="Q38" s="506"/>
      <c r="R38" s="506"/>
      <c r="S38" s="506"/>
      <c r="T38" s="506"/>
    </row>
    <row r="39" spans="4:47" x14ac:dyDescent="0.2">
      <c r="D39" s="540"/>
      <c r="E39" s="541"/>
      <c r="F39" s="541"/>
      <c r="G39" s="541"/>
      <c r="H39" s="541"/>
      <c r="I39" s="541"/>
      <c r="J39" s="541"/>
      <c r="K39" s="541"/>
      <c r="L39" s="541"/>
      <c r="M39" s="541"/>
      <c r="N39" s="541"/>
      <c r="O39" s="541"/>
      <c r="P39" s="541"/>
      <c r="Q39" s="506"/>
      <c r="R39" s="506"/>
      <c r="S39" s="506"/>
      <c r="T39" s="506"/>
    </row>
    <row r="40" spans="4:47" x14ac:dyDescent="0.2">
      <c r="D40" s="506"/>
      <c r="E40" s="506"/>
      <c r="F40" s="506"/>
      <c r="G40" s="506"/>
      <c r="H40" s="506"/>
      <c r="I40" s="506"/>
      <c r="J40" s="506"/>
      <c r="K40" s="506"/>
      <c r="L40" s="506"/>
      <c r="M40" s="506"/>
      <c r="N40" s="506"/>
      <c r="O40" s="506"/>
      <c r="P40" s="506"/>
      <c r="Q40" s="506"/>
      <c r="R40" s="506"/>
      <c r="S40" s="506"/>
      <c r="T40" s="506"/>
    </row>
    <row r="41" spans="4:47" x14ac:dyDescent="0.2">
      <c r="D41" s="506"/>
      <c r="F41" s="506"/>
      <c r="G41" s="506"/>
      <c r="H41" s="506"/>
      <c r="I41" s="506"/>
      <c r="J41" s="506"/>
      <c r="K41" s="506"/>
      <c r="L41" s="506"/>
      <c r="M41" s="506"/>
      <c r="N41" s="506"/>
      <c r="O41" s="506"/>
      <c r="P41" s="506"/>
      <c r="Q41" s="506"/>
      <c r="R41" s="506"/>
      <c r="S41" s="506"/>
      <c r="T41" s="506"/>
    </row>
    <row r="42" spans="4:47" x14ac:dyDescent="0.2">
      <c r="D42" s="506"/>
      <c r="F42" s="542"/>
      <c r="G42" s="506"/>
      <c r="H42" s="506"/>
      <c r="I42" s="506"/>
      <c r="J42" s="506"/>
      <c r="K42" s="506"/>
      <c r="L42" s="506"/>
      <c r="M42" s="506"/>
      <c r="N42" s="506"/>
      <c r="O42" s="506"/>
      <c r="P42" s="506"/>
      <c r="Q42" s="506"/>
      <c r="R42" s="506"/>
      <c r="S42" s="506"/>
      <c r="T42" s="506"/>
    </row>
    <row r="43" spans="4:47" x14ac:dyDescent="0.2">
      <c r="D43" s="537"/>
      <c r="F43" s="506"/>
      <c r="G43" s="506"/>
      <c r="H43" s="506"/>
      <c r="I43" s="506"/>
      <c r="J43" s="506"/>
      <c r="K43" s="506"/>
      <c r="L43" s="506"/>
      <c r="M43" s="506"/>
      <c r="N43" s="506"/>
      <c r="O43" s="506"/>
      <c r="P43" s="506"/>
      <c r="Q43" s="506"/>
      <c r="R43" s="506"/>
      <c r="S43" s="506"/>
      <c r="T43" s="506"/>
    </row>
    <row r="44" spans="4:47" x14ac:dyDescent="0.2">
      <c r="D44" s="543"/>
      <c r="F44" s="506"/>
      <c r="G44" s="506"/>
      <c r="H44" s="506"/>
      <c r="I44" s="506"/>
      <c r="J44" s="506"/>
      <c r="K44" s="506"/>
      <c r="L44" s="506"/>
      <c r="M44" s="506"/>
      <c r="N44" s="506"/>
      <c r="O44" s="506"/>
      <c r="P44" s="506"/>
      <c r="Q44" s="506"/>
      <c r="R44" s="506"/>
      <c r="S44" s="506"/>
      <c r="T44" s="506"/>
    </row>
    <row r="45" spans="4:47" x14ac:dyDescent="0.2">
      <c r="D45" s="506"/>
      <c r="F45" s="506"/>
      <c r="G45" s="506"/>
      <c r="H45" s="506"/>
      <c r="I45" s="506"/>
      <c r="J45" s="506"/>
      <c r="K45" s="506"/>
      <c r="L45" s="506"/>
      <c r="M45" s="506"/>
      <c r="N45" s="506"/>
      <c r="O45" s="506"/>
      <c r="P45" s="506"/>
      <c r="Q45" s="506"/>
      <c r="R45" s="506"/>
      <c r="S45" s="506"/>
      <c r="T45" s="506"/>
      <c r="AU45" s="531">
        <v>20</v>
      </c>
    </row>
    <row r="46" spans="4:47" x14ac:dyDescent="0.2">
      <c r="D46" s="540"/>
      <c r="F46" s="506"/>
      <c r="G46" s="506"/>
      <c r="H46" s="506"/>
      <c r="I46" s="506"/>
      <c r="J46" s="506"/>
      <c r="K46" s="506"/>
      <c r="L46" s="506"/>
      <c r="M46" s="506"/>
      <c r="N46" s="506"/>
      <c r="O46" s="506"/>
      <c r="P46" s="506"/>
      <c r="Q46" s="506"/>
      <c r="R46" s="506"/>
      <c r="S46" s="506"/>
      <c r="T46" s="506"/>
    </row>
    <row r="47" spans="4:47" x14ac:dyDescent="0.2">
      <c r="D47" s="506"/>
      <c r="E47" s="506"/>
      <c r="F47" s="506"/>
      <c r="G47" s="506"/>
      <c r="H47" s="506"/>
      <c r="I47" s="506"/>
      <c r="J47" s="506"/>
      <c r="K47" s="506"/>
      <c r="L47" s="506"/>
      <c r="M47" s="506"/>
      <c r="N47" s="506"/>
      <c r="O47" s="506"/>
      <c r="P47" s="506"/>
      <c r="Q47" s="506"/>
      <c r="R47" s="506"/>
      <c r="S47" s="506"/>
      <c r="T47" s="506"/>
    </row>
    <row r="48" spans="4:47" x14ac:dyDescent="0.2">
      <c r="D48" s="506"/>
      <c r="E48" s="506"/>
      <c r="F48" s="506"/>
      <c r="G48" s="506"/>
      <c r="H48" s="506"/>
      <c r="I48" s="506"/>
      <c r="J48" s="506"/>
      <c r="K48" s="506"/>
      <c r="L48" s="506"/>
      <c r="M48" s="506"/>
      <c r="N48" s="506"/>
      <c r="O48" s="506"/>
      <c r="P48" s="506"/>
      <c r="Q48" s="506"/>
      <c r="R48" s="506"/>
      <c r="S48" s="506"/>
      <c r="T48" s="506"/>
    </row>
    <row r="49" spans="4:58" x14ac:dyDescent="0.2">
      <c r="D49" s="506"/>
      <c r="E49" s="506"/>
      <c r="F49" s="506"/>
      <c r="G49" s="506"/>
      <c r="H49" s="506"/>
      <c r="I49" s="506"/>
      <c r="J49" s="506"/>
      <c r="K49" s="506"/>
      <c r="L49" s="506"/>
      <c r="M49" s="506"/>
      <c r="N49" s="506"/>
      <c r="O49" s="506"/>
      <c r="P49" s="506"/>
      <c r="Q49" s="506"/>
      <c r="R49" s="506"/>
      <c r="S49" s="506"/>
      <c r="T49" s="506"/>
      <c r="AY49" s="531" t="s">
        <v>464</v>
      </c>
      <c r="AZ49" s="531" t="s">
        <v>465</v>
      </c>
      <c r="BA49" s="531" t="s">
        <v>466</v>
      </c>
      <c r="BB49" s="531" t="s">
        <v>467</v>
      </c>
      <c r="BC49" s="531" t="s">
        <v>468</v>
      </c>
      <c r="BD49" s="531" t="s">
        <v>469</v>
      </c>
      <c r="BE49" s="531" t="s">
        <v>470</v>
      </c>
      <c r="BF49" s="531" t="s">
        <v>471</v>
      </c>
    </row>
    <row r="51" spans="4:58" x14ac:dyDescent="0.2">
      <c r="AX51" s="531">
        <v>400000</v>
      </c>
    </row>
    <row r="52" spans="4:58" x14ac:dyDescent="0.2">
      <c r="AS52" s="531" t="s">
        <v>468</v>
      </c>
      <c r="AT52" s="531" t="s">
        <v>469</v>
      </c>
      <c r="AU52" s="531" t="s">
        <v>470</v>
      </c>
      <c r="AV52" s="531" t="s">
        <v>471</v>
      </c>
      <c r="AW52" s="531" t="s">
        <v>472</v>
      </c>
      <c r="AX52" s="531" t="s">
        <v>473</v>
      </c>
    </row>
    <row r="53" spans="4:58" ht="17" thickBot="1" x14ac:dyDescent="0.25">
      <c r="AX53" s="531" t="s">
        <v>474</v>
      </c>
    </row>
    <row r="54" spans="4:58" ht="17" thickBot="1" x14ac:dyDescent="0.25">
      <c r="X54" s="1217" t="s">
        <v>475</v>
      </c>
      <c r="Y54" s="1218"/>
      <c r="Z54" s="1218"/>
      <c r="AA54" s="1218"/>
      <c r="AB54" s="1218"/>
      <c r="AC54" s="1218"/>
      <c r="AD54" s="1218"/>
      <c r="AE54" s="1218"/>
      <c r="AF54" s="1218"/>
      <c r="AG54" s="1218"/>
      <c r="AH54" s="1217" t="s">
        <v>476</v>
      </c>
      <c r="AI54" s="1218"/>
      <c r="AJ54" s="1218"/>
      <c r="AK54" s="1218"/>
      <c r="AL54" s="1218"/>
      <c r="AM54" s="1218"/>
      <c r="AN54" s="1218"/>
      <c r="AO54" s="1218"/>
      <c r="AP54" s="1218"/>
      <c r="AQ54" s="1218"/>
      <c r="AR54" s="1217" t="s">
        <v>477</v>
      </c>
      <c r="AS54" s="1218"/>
      <c r="AT54" s="1218"/>
      <c r="AU54" s="1218"/>
      <c r="AV54" s="1218"/>
      <c r="AW54" s="1218"/>
      <c r="AX54" s="1218"/>
      <c r="AY54" s="1218"/>
      <c r="AZ54" s="1218"/>
      <c r="BA54" s="1218"/>
    </row>
    <row r="55" spans="4:58" x14ac:dyDescent="0.2">
      <c r="X55" s="593">
        <v>2018</v>
      </c>
      <c r="Y55" s="555">
        <v>2019</v>
      </c>
      <c r="Z55" s="555">
        <v>2020</v>
      </c>
      <c r="AA55" s="591">
        <v>2021</v>
      </c>
      <c r="AB55" s="590" t="s">
        <v>0</v>
      </c>
      <c r="AC55" s="590" t="s">
        <v>1</v>
      </c>
      <c r="AD55" s="590" t="s">
        <v>2</v>
      </c>
      <c r="AE55" s="590" t="s">
        <v>3</v>
      </c>
      <c r="AF55" s="590" t="s">
        <v>4</v>
      </c>
      <c r="AG55" s="590" t="s">
        <v>5</v>
      </c>
      <c r="AH55" s="593">
        <v>2018</v>
      </c>
      <c r="AI55" s="555">
        <v>2019</v>
      </c>
      <c r="AJ55" s="555">
        <v>2020</v>
      </c>
      <c r="AK55" s="591">
        <v>2021</v>
      </c>
      <c r="AL55" s="590" t="s">
        <v>0</v>
      </c>
      <c r="AM55" s="590" t="s">
        <v>1</v>
      </c>
      <c r="AN55" s="590" t="s">
        <v>2</v>
      </c>
      <c r="AO55" s="590" t="s">
        <v>3</v>
      </c>
      <c r="AP55" s="590" t="s">
        <v>4</v>
      </c>
      <c r="AQ55" s="590" t="s">
        <v>5</v>
      </c>
      <c r="AR55" s="555">
        <v>2018</v>
      </c>
      <c r="AS55" s="555">
        <v>2019</v>
      </c>
      <c r="AT55" s="555">
        <v>2020</v>
      </c>
      <c r="AU55" s="555">
        <v>2021</v>
      </c>
      <c r="AV55" s="590" t="s">
        <v>0</v>
      </c>
      <c r="AW55" s="590" t="s">
        <v>1</v>
      </c>
      <c r="AX55" s="590" t="s">
        <v>2</v>
      </c>
      <c r="AY55" s="590" t="s">
        <v>3</v>
      </c>
      <c r="AZ55" s="590" t="s">
        <v>4</v>
      </c>
      <c r="BA55" s="590" t="s">
        <v>5</v>
      </c>
    </row>
    <row r="56" spans="4:58" x14ac:dyDescent="0.2">
      <c r="W56" s="604" t="s">
        <v>478</v>
      </c>
      <c r="X56" s="594">
        <v>630320</v>
      </c>
      <c r="Y56" s="517">
        <v>372589</v>
      </c>
      <c r="Z56" s="517">
        <v>377961</v>
      </c>
      <c r="AA56" s="592">
        <v>473797</v>
      </c>
      <c r="AH56" s="594" t="s">
        <v>58</v>
      </c>
      <c r="AI56" s="517"/>
      <c r="AJ56" s="517" t="s">
        <v>58</v>
      </c>
      <c r="AK56" s="592" t="s">
        <v>58</v>
      </c>
      <c r="AR56" s="517">
        <f t="shared" ref="AR56:AU57" si="15">X56</f>
        <v>630320</v>
      </c>
      <c r="AS56" s="517">
        <f t="shared" si="15"/>
        <v>372589</v>
      </c>
      <c r="AT56" s="517">
        <f t="shared" si="15"/>
        <v>377961</v>
      </c>
      <c r="AU56" s="517">
        <f t="shared" si="15"/>
        <v>473797</v>
      </c>
      <c r="AV56" s="517">
        <f t="shared" ref="AV56:BA56" si="16">$AU$56</f>
        <v>473797</v>
      </c>
      <c r="AW56" s="517">
        <f t="shared" si="16"/>
        <v>473797</v>
      </c>
      <c r="AX56" s="517">
        <f t="shared" si="16"/>
        <v>473797</v>
      </c>
      <c r="AY56" s="517">
        <f t="shared" si="16"/>
        <v>473797</v>
      </c>
      <c r="AZ56" s="517">
        <f t="shared" si="16"/>
        <v>473797</v>
      </c>
      <c r="BA56" s="517">
        <f t="shared" si="16"/>
        <v>473797</v>
      </c>
    </row>
    <row r="57" spans="4:58" x14ac:dyDescent="0.2">
      <c r="W57" s="595" t="s">
        <v>479</v>
      </c>
      <c r="X57" s="594">
        <v>45424</v>
      </c>
      <c r="Y57" s="517">
        <v>48406</v>
      </c>
      <c r="Z57" s="517">
        <v>42979</v>
      </c>
      <c r="AA57" s="592">
        <v>43276</v>
      </c>
      <c r="AH57" s="594" t="s">
        <v>58</v>
      </c>
      <c r="AI57" s="517"/>
      <c r="AJ57" s="517" t="s">
        <v>58</v>
      </c>
      <c r="AK57" s="592" t="s">
        <v>58</v>
      </c>
      <c r="AR57" s="517">
        <f t="shared" si="15"/>
        <v>45424</v>
      </c>
      <c r="AS57" s="517">
        <f t="shared" si="15"/>
        <v>48406</v>
      </c>
      <c r="AT57" s="517">
        <f t="shared" si="15"/>
        <v>42979</v>
      </c>
      <c r="AU57" s="517">
        <f t="shared" si="15"/>
        <v>43276</v>
      </c>
      <c r="AV57" s="517">
        <f>AU57</f>
        <v>43276</v>
      </c>
      <c r="AW57" s="517">
        <f t="shared" ref="AW57:BA57" si="17">AV57</f>
        <v>43276</v>
      </c>
      <c r="AX57" s="517">
        <f t="shared" si="17"/>
        <v>43276</v>
      </c>
      <c r="AY57" s="517">
        <f t="shared" si="17"/>
        <v>43276</v>
      </c>
      <c r="AZ57" s="517">
        <f t="shared" si="17"/>
        <v>43276</v>
      </c>
      <c r="BA57" s="517">
        <f t="shared" si="17"/>
        <v>43276</v>
      </c>
    </row>
    <row r="58" spans="4:58" x14ac:dyDescent="0.2">
      <c r="W58" s="595" t="s">
        <v>480</v>
      </c>
      <c r="X58" s="594">
        <v>179907</v>
      </c>
      <c r="Y58" s="517">
        <v>133488</v>
      </c>
      <c r="Z58" s="517">
        <v>123836</v>
      </c>
      <c r="AA58" s="592">
        <v>121972</v>
      </c>
      <c r="AH58" s="594">
        <v>-67342</v>
      </c>
      <c r="AI58" s="517">
        <v>-58626</v>
      </c>
      <c r="AJ58" s="517">
        <v>-58629</v>
      </c>
      <c r="AK58" s="592">
        <v>-61521</v>
      </c>
      <c r="AR58" s="517">
        <f t="shared" ref="AR58:AU64" si="18">X58+AH58</f>
        <v>112565</v>
      </c>
      <c r="AS58" s="517">
        <f t="shared" si="18"/>
        <v>74862</v>
      </c>
      <c r="AT58" s="517">
        <f t="shared" si="18"/>
        <v>65207</v>
      </c>
      <c r="AU58" s="517">
        <f t="shared" si="18"/>
        <v>60451</v>
      </c>
      <c r="AV58" s="517">
        <f t="shared" ref="AV58:BA58" si="19">AU58+$AI$76</f>
        <v>60451</v>
      </c>
      <c r="AW58" s="517">
        <f t="shared" si="19"/>
        <v>60451</v>
      </c>
      <c r="AX58" s="517">
        <f t="shared" si="19"/>
        <v>60451</v>
      </c>
      <c r="AY58" s="517">
        <f t="shared" si="19"/>
        <v>60451</v>
      </c>
      <c r="AZ58" s="517">
        <f t="shared" si="19"/>
        <v>60451</v>
      </c>
      <c r="BA58" s="517">
        <f t="shared" si="19"/>
        <v>60451</v>
      </c>
    </row>
    <row r="59" spans="4:58" x14ac:dyDescent="0.2">
      <c r="W59" s="595" t="s">
        <v>481</v>
      </c>
      <c r="X59" s="594">
        <v>13333837</v>
      </c>
      <c r="Y59" s="517">
        <v>13993044</v>
      </c>
      <c r="Z59" s="517">
        <v>12983173</v>
      </c>
      <c r="AA59" s="592">
        <v>11024722</v>
      </c>
      <c r="AB59" s="601"/>
      <c r="AC59" s="601"/>
      <c r="AD59" s="601"/>
      <c r="AE59" s="601"/>
      <c r="AF59" s="601"/>
      <c r="AG59" s="601"/>
      <c r="AH59" s="594">
        <v>-4361337</v>
      </c>
      <c r="AI59" s="517">
        <v>-4630001</v>
      </c>
      <c r="AJ59" s="517">
        <v>-5292429</v>
      </c>
      <c r="AK59" s="592">
        <v>-4462706</v>
      </c>
      <c r="AL59" s="592"/>
      <c r="AM59" s="592"/>
      <c r="AN59" s="592"/>
      <c r="AO59" s="592"/>
      <c r="AP59" s="592"/>
      <c r="AQ59" s="592"/>
      <c r="AR59" s="517">
        <f t="shared" si="18"/>
        <v>8972500</v>
      </c>
      <c r="AS59" s="517">
        <f t="shared" si="18"/>
        <v>9363043</v>
      </c>
      <c r="AT59" s="517">
        <f t="shared" si="18"/>
        <v>7690744</v>
      </c>
      <c r="AU59" s="517">
        <f t="shared" si="18"/>
        <v>6562016</v>
      </c>
      <c r="AV59" s="788">
        <f>AU59</f>
        <v>6562016</v>
      </c>
      <c r="AW59" s="788">
        <f t="shared" ref="AW59:BA59" si="20">AV59</f>
        <v>6562016</v>
      </c>
      <c r="AX59" s="788">
        <f t="shared" si="20"/>
        <v>6562016</v>
      </c>
      <c r="AY59" s="788">
        <f t="shared" si="20"/>
        <v>6562016</v>
      </c>
      <c r="AZ59" s="788">
        <f t="shared" si="20"/>
        <v>6562016</v>
      </c>
      <c r="BA59" s="788">
        <f t="shared" si="20"/>
        <v>6562016</v>
      </c>
    </row>
    <row r="60" spans="4:58" x14ac:dyDescent="0.2">
      <c r="W60" s="595" t="s">
        <v>482</v>
      </c>
      <c r="X60" s="594">
        <v>34253</v>
      </c>
      <c r="Y60" s="517">
        <v>33658</v>
      </c>
      <c r="Z60" s="517">
        <v>27402</v>
      </c>
      <c r="AA60" s="592">
        <v>25764</v>
      </c>
      <c r="AB60" s="592">
        <f>(AV60-AU60)*(1+ABS($AH$60-$AI$60)/$Y$60)+AA60+$AH$60-$AI$60</f>
        <v>28572.806352143187</v>
      </c>
      <c r="AC60" s="592">
        <f t="shared" ref="AC60:AG61" si="21">AW60-AV60+AB60</f>
        <v>29222.374402726542</v>
      </c>
      <c r="AD60" s="592">
        <f t="shared" si="21"/>
        <v>29962.697526293618</v>
      </c>
      <c r="AE60" s="592">
        <f t="shared" si="21"/>
        <v>30189.966474929483</v>
      </c>
      <c r="AF60" s="592">
        <f t="shared" si="21"/>
        <v>30404.146788027421</v>
      </c>
      <c r="AG60" s="592">
        <f t="shared" si="21"/>
        <v>30629.217344437871</v>
      </c>
      <c r="AH60" s="594">
        <v>-27659</v>
      </c>
      <c r="AI60" s="517">
        <v>-28441</v>
      </c>
      <c r="AJ60" s="517">
        <v>-23986</v>
      </c>
      <c r="AK60" s="592">
        <v>-23501</v>
      </c>
      <c r="AL60" s="507"/>
      <c r="AM60" s="507"/>
      <c r="AN60" s="507"/>
      <c r="AO60" s="507"/>
      <c r="AP60" s="507"/>
      <c r="AQ60" s="507"/>
      <c r="AR60" s="517">
        <f t="shared" si="18"/>
        <v>6594</v>
      </c>
      <c r="AS60" s="517">
        <f t="shared" si="18"/>
        <v>5217</v>
      </c>
      <c r="AT60" s="517">
        <f t="shared" si="18"/>
        <v>3416</v>
      </c>
      <c r="AU60" s="517">
        <f t="shared" si="18"/>
        <v>2263</v>
      </c>
      <c r="AV60" s="517">
        <f>(SUM('Forecast Drivers'!H25,'Forecast Drivers'!H68,'Forecast Drivers'!H113)/SUM('Forecast Drivers'!$E$25,'Forecast Drivers'!$E$68,'Forecast Drivers'!$E$113))*ABS($AS$60)</f>
        <v>4243.7853716735008</v>
      </c>
      <c r="AW60" s="517">
        <f>(SUM('Forecast Drivers'!I25,'Forecast Drivers'!I68,'Forecast Drivers'!I113)/SUM('Forecast Drivers'!$E$25,'Forecast Drivers'!$E$68,'Forecast Drivers'!$E$113))*ABS($AS$60)</f>
        <v>4893.353422256856</v>
      </c>
      <c r="AX60" s="517">
        <f>(SUM('Forecast Drivers'!J25,'Forecast Drivers'!J68,'Forecast Drivers'!J113)/SUM('Forecast Drivers'!$E$25,'Forecast Drivers'!$E$68,'Forecast Drivers'!$E$113))*ABS($AS$60)</f>
        <v>5633.6765458239315</v>
      </c>
      <c r="AY60" s="517">
        <f>(SUM('Forecast Drivers'!K25,'Forecast Drivers'!K68,'Forecast Drivers'!K113)/SUM('Forecast Drivers'!$E$25,'Forecast Drivers'!$E$68,'Forecast Drivers'!$E$113))*ABS($AS$60)</f>
        <v>5860.9454944597965</v>
      </c>
      <c r="AZ60" s="517">
        <f>(SUM('Forecast Drivers'!L25,'Forecast Drivers'!L68,'Forecast Drivers'!L113)/SUM('Forecast Drivers'!$E$25,'Forecast Drivers'!$E$68,'Forecast Drivers'!$E$113))*ABS($AS$60)</f>
        <v>6075.1258075577362</v>
      </c>
      <c r="BA60" s="517">
        <f>(SUM('Forecast Drivers'!M25,'Forecast Drivers'!M68,'Forecast Drivers'!M113)/SUM('Forecast Drivers'!$E$25,'Forecast Drivers'!$E$68,'Forecast Drivers'!$E$113))*ABS($AS$60)</f>
        <v>6300.1963639681853</v>
      </c>
    </row>
    <row r="61" spans="4:58" x14ac:dyDescent="0.2">
      <c r="W61" s="595" t="s">
        <v>483</v>
      </c>
      <c r="X61" s="594">
        <v>160936</v>
      </c>
      <c r="Y61" s="517">
        <v>161992</v>
      </c>
      <c r="Z61" s="517">
        <v>147754</v>
      </c>
      <c r="AA61" s="592">
        <v>146986</v>
      </c>
      <c r="AB61" s="592">
        <f>AV61-AU61+AA61</f>
        <v>147050.30379181303</v>
      </c>
      <c r="AC61" s="592">
        <f t="shared" si="21"/>
        <v>149637.12108506964</v>
      </c>
      <c r="AD61" s="592">
        <f t="shared" si="21"/>
        <v>152585.35823577494</v>
      </c>
      <c r="AE61" s="592">
        <f t="shared" si="21"/>
        <v>153490.42622060506</v>
      </c>
      <c r="AF61" s="592">
        <f t="shared" si="21"/>
        <v>154343.37047686783</v>
      </c>
      <c r="AG61" s="592">
        <f t="shared" si="21"/>
        <v>155239.68366068677</v>
      </c>
      <c r="AH61" s="594">
        <v>-138372</v>
      </c>
      <c r="AI61" s="517">
        <v>-141216</v>
      </c>
      <c r="AJ61" s="517">
        <v>-132923</v>
      </c>
      <c r="AK61" s="592">
        <v>-130150</v>
      </c>
      <c r="AR61" s="517">
        <f t="shared" si="18"/>
        <v>22564</v>
      </c>
      <c r="AS61" s="517">
        <f t="shared" si="18"/>
        <v>20776</v>
      </c>
      <c r="AT61" s="517">
        <f t="shared" si="18"/>
        <v>14831</v>
      </c>
      <c r="AU61" s="517">
        <f t="shared" si="18"/>
        <v>16836</v>
      </c>
      <c r="AV61" s="517">
        <f>(SUM('Forecast Drivers'!H25,'Forecast Drivers'!H68,'Forecast Drivers'!H113)/SUM('Forecast Drivers'!$E$25,'Forecast Drivers'!$E$68,'Forecast Drivers'!$E$113))*ABS($AS$61)</f>
        <v>16900.303791813043</v>
      </c>
      <c r="AW61" s="517">
        <f>(SUM('Forecast Drivers'!I25,'Forecast Drivers'!I68,'Forecast Drivers'!I113)/SUM('Forecast Drivers'!$E$25,'Forecast Drivers'!$E$68,'Forecast Drivers'!$E$113))*ABS($AS$61)</f>
        <v>19487.121085069663</v>
      </c>
      <c r="AX61" s="517">
        <f>(SUM('Forecast Drivers'!J25,'Forecast Drivers'!J68,'Forecast Drivers'!J113)/SUM('Forecast Drivers'!$E$25,'Forecast Drivers'!$E$68,'Forecast Drivers'!$E$113))*ABS($AS$61)</f>
        <v>22435.358235774966</v>
      </c>
      <c r="AY61" s="517">
        <f>(SUM('Forecast Drivers'!K25,'Forecast Drivers'!K68,'Forecast Drivers'!K113)/SUM('Forecast Drivers'!$E$25,'Forecast Drivers'!$E$68,'Forecast Drivers'!$E$113))*ABS($AS$61)</f>
        <v>23340.426220605084</v>
      </c>
      <c r="AZ61" s="517">
        <f>(SUM('Forecast Drivers'!L25,'Forecast Drivers'!L68,'Forecast Drivers'!L113)/SUM('Forecast Drivers'!$E$25,'Forecast Drivers'!$E$68,'Forecast Drivers'!$E$113))*ABS($AS$61)</f>
        <v>24193.37047686784</v>
      </c>
      <c r="BA61" s="517">
        <f>(SUM('Forecast Drivers'!M25,'Forecast Drivers'!M68,'Forecast Drivers'!M113)/SUM('Forecast Drivers'!$E$25,'Forecast Drivers'!$E$68,'Forecast Drivers'!$E$113))*ABS($AS$61)</f>
        <v>25089.683660686798</v>
      </c>
    </row>
    <row r="62" spans="4:58" x14ac:dyDescent="0.2">
      <c r="W62" s="595" t="s">
        <v>484</v>
      </c>
      <c r="X62" s="594">
        <v>182629</v>
      </c>
      <c r="Y62" s="517">
        <v>171469</v>
      </c>
      <c r="Z62" s="517">
        <v>154414</v>
      </c>
      <c r="AA62" s="592">
        <v>147402</v>
      </c>
      <c r="AH62" s="594">
        <v>-111620</v>
      </c>
      <c r="AI62" s="517">
        <v>-111635</v>
      </c>
      <c r="AJ62" s="517">
        <v>-105215</v>
      </c>
      <c r="AK62" s="592">
        <v>-108661</v>
      </c>
      <c r="AR62" s="517">
        <f t="shared" si="18"/>
        <v>71009</v>
      </c>
      <c r="AS62" s="517">
        <f t="shared" si="18"/>
        <v>59834</v>
      </c>
      <c r="AT62" s="517">
        <f t="shared" si="18"/>
        <v>49199</v>
      </c>
      <c r="AU62" s="517">
        <f t="shared" si="18"/>
        <v>38741</v>
      </c>
      <c r="AV62" s="517">
        <f>SUM('Forecast Drivers'!H25,'Forecast Drivers'!H68,'Forecast Drivers'!H113)/SUM('Forecast Drivers'!$E$25,'Forecast Drivers'!$E$68,'Forecast Drivers'!$E$113)*ABS($AS$62)</f>
        <v>48672.159081600963</v>
      </c>
      <c r="AW62" s="517">
        <f>SUM('Forecast Drivers'!I25,'Forecast Drivers'!I68,'Forecast Drivers'!I113)/SUM('Forecast Drivers'!$E$25,'Forecast Drivers'!$E$68,'Forecast Drivers'!$E$113)*ABS($AS$62)</f>
        <v>56122.083317484517</v>
      </c>
      <c r="AX62" s="517">
        <f>SUM('Forecast Drivers'!J25,'Forecast Drivers'!J68,'Forecast Drivers'!J113)/SUM('Forecast Drivers'!$E$25,'Forecast Drivers'!$E$68,'Forecast Drivers'!$E$113)*ABS($AS$62)</f>
        <v>64612.881434316485</v>
      </c>
      <c r="AY62" s="517">
        <f>SUM('Forecast Drivers'!K25,'Forecast Drivers'!K68,'Forecast Drivers'!K113)/SUM('Forecast Drivers'!$E$25,'Forecast Drivers'!$E$68,'Forecast Drivers'!$E$113)*ABS($AS$62)</f>
        <v>67219.438895056053</v>
      </c>
      <c r="AZ62" s="517">
        <f>SUM('Forecast Drivers'!L25,'Forecast Drivers'!L68,'Forecast Drivers'!L113)/SUM('Forecast Drivers'!$E$25,'Forecast Drivers'!$E$68,'Forecast Drivers'!$E$113)*ABS($AS$62)</f>
        <v>69675.882225303736</v>
      </c>
      <c r="BA62" s="517">
        <f>SUM('Forecast Drivers'!M25,'Forecast Drivers'!M68,'Forecast Drivers'!M113)/SUM('Forecast Drivers'!$E$25,'Forecast Drivers'!$E$68,'Forecast Drivers'!$E$113)*ABS($AS$62)</f>
        <v>72257.226229954453</v>
      </c>
    </row>
    <row r="63" spans="4:58" x14ac:dyDescent="0.2">
      <c r="W63" s="595" t="s">
        <v>485</v>
      </c>
      <c r="X63" s="594">
        <v>69653</v>
      </c>
      <c r="Y63" s="517">
        <v>67060</v>
      </c>
      <c r="Z63" s="517">
        <v>49345</v>
      </c>
      <c r="AA63" s="592">
        <v>49186</v>
      </c>
      <c r="AB63" s="592">
        <f>AV63-AU63+AA63</f>
        <v>49899.980430798867</v>
      </c>
      <c r="AC63" s="592">
        <f t="shared" ref="AC63:AG63" si="22">AW63-AV63+AB63</f>
        <v>50738.305461386895</v>
      </c>
      <c r="AD63" s="592">
        <f t="shared" si="22"/>
        <v>51693.757941926888</v>
      </c>
      <c r="AE63" s="592">
        <f t="shared" si="22"/>
        <v>51987.068624534761</v>
      </c>
      <c r="AF63" s="592">
        <f t="shared" si="22"/>
        <v>52263.487265149757</v>
      </c>
      <c r="AG63" s="592">
        <f t="shared" si="22"/>
        <v>52553.960728119193</v>
      </c>
      <c r="AH63" s="594">
        <v>-60531</v>
      </c>
      <c r="AI63" s="517">
        <v>-60327</v>
      </c>
      <c r="AJ63" s="517">
        <v>-44140</v>
      </c>
      <c r="AK63" s="592">
        <v>-44423</v>
      </c>
      <c r="AR63" s="517">
        <f t="shared" si="18"/>
        <v>9122</v>
      </c>
      <c r="AS63" s="517">
        <f t="shared" si="18"/>
        <v>6733</v>
      </c>
      <c r="AT63" s="517">
        <f t="shared" si="18"/>
        <v>5205</v>
      </c>
      <c r="AU63" s="517">
        <f t="shared" si="18"/>
        <v>4763</v>
      </c>
      <c r="AV63" s="517">
        <f>(SUM('Forecast Drivers'!H25,'Forecast Drivers'!H68,'Forecast Drivers'!H113)/SUM('Forecast Drivers'!$E$25,'Forecast Drivers'!$E$68,'Forecast Drivers'!$E$113))*ABS($AS$63)</f>
        <v>5476.9804307988652</v>
      </c>
      <c r="AW63" s="517">
        <f>(SUM('Forecast Drivers'!I25,'Forecast Drivers'!I68,'Forecast Drivers'!I113)/SUM('Forecast Drivers'!$E$25,'Forecast Drivers'!$E$68,'Forecast Drivers'!$E$113))*ABS($AS$63)</f>
        <v>6315.3054613868908</v>
      </c>
      <c r="AX63" s="517">
        <f>(SUM('Forecast Drivers'!J25,'Forecast Drivers'!J68,'Forecast Drivers'!J113)/SUM('Forecast Drivers'!$E$25,'Forecast Drivers'!$E$68,'Forecast Drivers'!$E$113))*ABS($AS$63)</f>
        <v>7270.7579419268795</v>
      </c>
      <c r="AY63" s="517">
        <f>(SUM('Forecast Drivers'!K25,'Forecast Drivers'!K68,'Forecast Drivers'!K113)/SUM('Forecast Drivers'!$E$25,'Forecast Drivers'!$E$68,'Forecast Drivers'!$E$113))*ABS($AS$63)</f>
        <v>7564.0686245347533</v>
      </c>
      <c r="AZ63" s="517">
        <f>(SUM('Forecast Drivers'!L25,'Forecast Drivers'!L68,'Forecast Drivers'!L113)/SUM('Forecast Drivers'!$E$25,'Forecast Drivers'!$E$68,'Forecast Drivers'!$E$113))*ABS($AS$63)</f>
        <v>7840.4872651497481</v>
      </c>
      <c r="BA63" s="517">
        <f>(SUM('Forecast Drivers'!M25,'Forecast Drivers'!M68,'Forecast Drivers'!M113)/SUM('Forecast Drivers'!$E$25,'Forecast Drivers'!$E$68,'Forecast Drivers'!$E$113))*ABS($AS$63)</f>
        <v>8130.9607281191857</v>
      </c>
    </row>
    <row r="64" spans="4:58" x14ac:dyDescent="0.2">
      <c r="W64" s="595" t="s">
        <v>486</v>
      </c>
      <c r="X64" s="594">
        <v>211322</v>
      </c>
      <c r="Y64" s="517">
        <v>234249</v>
      </c>
      <c r="Z64" s="517">
        <v>201828</v>
      </c>
      <c r="AA64" s="592">
        <v>248733</v>
      </c>
      <c r="AH64" s="594">
        <v>-128055</v>
      </c>
      <c r="AI64" s="517">
        <v>-135789</v>
      </c>
      <c r="AJ64" s="517">
        <v>-127420</v>
      </c>
      <c r="AK64" s="592">
        <v>-115758</v>
      </c>
      <c r="AR64" s="517">
        <f t="shared" si="18"/>
        <v>83267</v>
      </c>
      <c r="AS64" s="517">
        <f t="shared" si="18"/>
        <v>98460</v>
      </c>
      <c r="AT64" s="517">
        <f t="shared" si="18"/>
        <v>74408</v>
      </c>
      <c r="AU64" s="517">
        <f t="shared" si="18"/>
        <v>132975</v>
      </c>
      <c r="AV64" s="517">
        <f>AU64</f>
        <v>132975</v>
      </c>
      <c r="AW64" s="517">
        <f t="shared" ref="AW64:BA64" si="23">AV64</f>
        <v>132975</v>
      </c>
      <c r="AX64" s="517">
        <f t="shared" si="23"/>
        <v>132975</v>
      </c>
      <c r="AY64" s="517">
        <f t="shared" si="23"/>
        <v>132975</v>
      </c>
      <c r="AZ64" s="517">
        <f t="shared" si="23"/>
        <v>132975</v>
      </c>
      <c r="BA64" s="517">
        <f t="shared" si="23"/>
        <v>132975</v>
      </c>
    </row>
    <row r="65" spans="23:70" x14ac:dyDescent="0.2">
      <c r="W65" s="596" t="s">
        <v>487</v>
      </c>
      <c r="X65" s="597">
        <f>SUM(X60:X64,X56:X58)</f>
        <v>1514444</v>
      </c>
      <c r="Y65" s="598">
        <f>SUM(Y60:Y64,Y56:Y58)</f>
        <v>1222911</v>
      </c>
      <c r="Z65" s="598">
        <f>SUM(Z60:Z64,Z56:Z58)</f>
        <v>1125519</v>
      </c>
      <c r="AA65" s="599">
        <f>SUM(AA60:AA64,AA56:AA58)</f>
        <v>1257116</v>
      </c>
      <c r="AH65" s="597">
        <f>SUM(AH60:AH64,AH56:AH58)</f>
        <v>-533579</v>
      </c>
      <c r="AI65" s="598">
        <f>SUM(AI60:AI64,AI56:AI58)</f>
        <v>-536034</v>
      </c>
      <c r="AJ65" s="598">
        <f>SUM(AJ60:AJ64,AJ56:AJ58)</f>
        <v>-492313</v>
      </c>
      <c r="AK65" s="599">
        <f>SUM(AK60:AK64,AK56:AK58)</f>
        <v>-484014</v>
      </c>
      <c r="AR65" s="597">
        <f t="shared" ref="AR65:BA65" si="24">SUM(AR56:AR59,AR60:AR63)</f>
        <v>9870098</v>
      </c>
      <c r="AS65" s="597">
        <f t="shared" si="24"/>
        <v>9951460</v>
      </c>
      <c r="AT65" s="597">
        <f t="shared" si="24"/>
        <v>8249542</v>
      </c>
      <c r="AU65" s="597">
        <f t="shared" si="24"/>
        <v>7202143</v>
      </c>
      <c r="AV65" s="597">
        <f t="shared" si="24"/>
        <v>7214833.2286758851</v>
      </c>
      <c r="AW65" s="597">
        <f t="shared" si="24"/>
        <v>7226357.863286199</v>
      </c>
      <c r="AX65" s="597">
        <f t="shared" si="24"/>
        <v>7239492.6741578421</v>
      </c>
      <c r="AY65" s="597">
        <f t="shared" si="24"/>
        <v>7243524.8792346558</v>
      </c>
      <c r="AZ65" s="597">
        <f t="shared" si="24"/>
        <v>7247324.8657748802</v>
      </c>
      <c r="BA65" s="597">
        <f t="shared" si="24"/>
        <v>7251318.0669827284</v>
      </c>
    </row>
    <row r="66" spans="23:70" x14ac:dyDescent="0.2">
      <c r="W66" s="595"/>
      <c r="X66" s="594"/>
      <c r="Y66" s="517"/>
      <c r="Z66" s="517"/>
      <c r="AA66" s="592"/>
      <c r="AH66" s="594"/>
      <c r="AI66" s="517"/>
      <c r="AJ66" s="517"/>
      <c r="AK66" s="592"/>
      <c r="AR66" s="517"/>
      <c r="AS66" s="517"/>
      <c r="AT66" s="517"/>
      <c r="AU66" s="517"/>
      <c r="AV66" s="517"/>
      <c r="AW66" s="517"/>
      <c r="AX66" s="517"/>
      <c r="AY66" s="517"/>
      <c r="AZ66" s="517"/>
      <c r="BA66" s="517"/>
    </row>
    <row r="67" spans="23:70" x14ac:dyDescent="0.2">
      <c r="W67" s="613"/>
      <c r="X67" s="614"/>
      <c r="Y67" s="615"/>
      <c r="Z67" s="615"/>
      <c r="AA67" s="616"/>
      <c r="AB67" s="617"/>
      <c r="AC67" s="617"/>
      <c r="AD67" s="617"/>
      <c r="AE67" s="617"/>
      <c r="AF67" s="617"/>
      <c r="AG67" s="617"/>
      <c r="AH67" s="594"/>
      <c r="AI67" s="517"/>
      <c r="AJ67" s="517"/>
      <c r="AK67" s="592"/>
      <c r="AR67" s="517">
        <f t="shared" ref="AR67:BA67" si="25">AR59+AR68</f>
        <v>11520944</v>
      </c>
      <c r="AS67" s="517">
        <f t="shared" si="25"/>
        <v>12232741</v>
      </c>
      <c r="AT67" s="517">
        <f t="shared" si="25"/>
        <v>10097063</v>
      </c>
      <c r="AU67" s="517">
        <f t="shared" si="25"/>
        <v>8716765</v>
      </c>
      <c r="AV67" s="517">
        <f t="shared" si="25"/>
        <v>8751369.6184739117</v>
      </c>
      <c r="AW67" s="517">
        <f t="shared" si="25"/>
        <v>9446033.6997402161</v>
      </c>
      <c r="AX67" s="517">
        <f t="shared" si="25"/>
        <v>9464609.1100875717</v>
      </c>
      <c r="AY67" s="517">
        <f t="shared" si="25"/>
        <v>9732091.6265063025</v>
      </c>
      <c r="AZ67" s="517">
        <f t="shared" si="25"/>
        <v>9965898.9125919677</v>
      </c>
      <c r="BA67" s="517">
        <f t="shared" si="25"/>
        <v>10410307.885424666</v>
      </c>
    </row>
    <row r="68" spans="23:70" x14ac:dyDescent="0.2">
      <c r="W68" s="613" t="s">
        <v>488</v>
      </c>
      <c r="X68" s="614">
        <v>4987953</v>
      </c>
      <c r="Y68" s="615">
        <v>5693553</v>
      </c>
      <c r="Z68" s="615">
        <v>5614366</v>
      </c>
      <c r="AA68" s="616">
        <v>5454167</v>
      </c>
      <c r="AB68" s="616">
        <f t="shared" ref="AB68:AG68" si="26">AA68+ABS(H7)*10^3</f>
        <v>5828167</v>
      </c>
      <c r="AC68" s="616">
        <f t="shared" si="26"/>
        <v>6926167</v>
      </c>
      <c r="AD68" s="616">
        <f t="shared" si="26"/>
        <v>7374167</v>
      </c>
      <c r="AE68" s="616">
        <f t="shared" si="26"/>
        <v>8114167</v>
      </c>
      <c r="AF68" s="616">
        <f t="shared" si="26"/>
        <v>8864167</v>
      </c>
      <c r="AG68" s="616">
        <f t="shared" si="26"/>
        <v>9884167</v>
      </c>
      <c r="AH68" s="594">
        <v>-2439509</v>
      </c>
      <c r="AI68" s="517">
        <v>-2823855</v>
      </c>
      <c r="AJ68" s="517">
        <v>-3208047</v>
      </c>
      <c r="AK68" s="592">
        <v>-3299418</v>
      </c>
      <c r="AL68" s="592">
        <f>-317616/$AA$68*AB68+AK68</f>
        <v>-3638813.3815260883</v>
      </c>
      <c r="AM68" s="592">
        <f t="shared" ref="AM68:AQ68" si="27">-317616/$AA$68*AC68+AL68</f>
        <v>-4042149.3002597829</v>
      </c>
      <c r="AN68" s="592">
        <f t="shared" si="27"/>
        <v>-4471573.8899124283</v>
      </c>
      <c r="AO68" s="592">
        <f t="shared" si="27"/>
        <v>-4944091.3734936975</v>
      </c>
      <c r="AP68" s="592">
        <f t="shared" si="27"/>
        <v>-5460284.0874080313</v>
      </c>
      <c r="AQ68" s="592">
        <f t="shared" si="27"/>
        <v>-6035875.114575333</v>
      </c>
      <c r="AR68" s="658">
        <f>X68+AH68</f>
        <v>2548444</v>
      </c>
      <c r="AS68" s="658">
        <f t="shared" ref="AS68:AZ68" si="28">Y68+AI68</f>
        <v>2869698</v>
      </c>
      <c r="AT68" s="658">
        <f t="shared" si="28"/>
        <v>2406319</v>
      </c>
      <c r="AU68" s="658">
        <f t="shared" si="28"/>
        <v>2154749</v>
      </c>
      <c r="AV68" s="658">
        <f t="shared" si="28"/>
        <v>2189353.6184739117</v>
      </c>
      <c r="AW68" s="658">
        <f t="shared" si="28"/>
        <v>2884017.6997402171</v>
      </c>
      <c r="AX68" s="658">
        <f t="shared" si="28"/>
        <v>2902593.1100875717</v>
      </c>
      <c r="AY68" s="658">
        <f t="shared" si="28"/>
        <v>3170075.6265063025</v>
      </c>
      <c r="AZ68" s="658">
        <f t="shared" si="28"/>
        <v>3403882.9125919687</v>
      </c>
      <c r="BA68" s="658">
        <f>AG68+AQ68</f>
        <v>3848291.885424667</v>
      </c>
    </row>
    <row r="69" spans="23:70" x14ac:dyDescent="0.2">
      <c r="W69" s="613"/>
      <c r="X69" s="614"/>
      <c r="Y69" s="615"/>
      <c r="Z69" s="615"/>
      <c r="AA69" s="616"/>
      <c r="AB69" s="614"/>
      <c r="AC69" s="614"/>
      <c r="AD69" s="614"/>
      <c r="AE69" s="614"/>
      <c r="AF69" s="614"/>
      <c r="AG69" s="614"/>
      <c r="AH69" s="594"/>
      <c r="AI69" s="517"/>
      <c r="AJ69" s="517"/>
      <c r="AK69" s="592"/>
      <c r="AL69" s="592"/>
      <c r="AM69" s="592"/>
      <c r="AN69" s="592"/>
      <c r="AO69" s="592"/>
      <c r="AP69" s="592"/>
      <c r="AQ69" s="592"/>
      <c r="AR69" s="517"/>
      <c r="AS69" s="517"/>
      <c r="AT69" s="517"/>
      <c r="AU69" s="517"/>
      <c r="AV69" s="715">
        <f>SUM('Forecast Drivers'!H25,'Forecast Drivers'!H68,'Forecast Drivers'!H113)/SUM('Forecast Drivers'!$E$25,'Forecast Drivers'!$E$68,'Forecast Drivers'!$E$113)*$AS$67</f>
        <v>9950762.3751716837</v>
      </c>
      <c r="AW69" s="715">
        <f>SUM('Forecast Drivers'!I25,'Forecast Drivers'!I68,'Forecast Drivers'!I113)/SUM('Forecast Drivers'!$E$25,'Forecast Drivers'!$E$68,'Forecast Drivers'!$E$113)*$AS$67</f>
        <v>11473859.504683103</v>
      </c>
      <c r="AX69" s="715">
        <f>SUM('Forecast Drivers'!J25,'Forecast Drivers'!J68,'Forecast Drivers'!J113)/SUM('Forecast Drivers'!$E$25,'Forecast Drivers'!$E$68,'Forecast Drivers'!$E$113)*$AS$67</f>
        <v>13209757.727206975</v>
      </c>
      <c r="AY69" s="715">
        <f>SUM('Forecast Drivers'!K25,'Forecast Drivers'!K68,'Forecast Drivers'!K113)/SUM('Forecast Drivers'!$E$25,'Forecast Drivers'!$E$68,'Forecast Drivers'!$E$113)*$AS$67</f>
        <v>13742654.446778536</v>
      </c>
      <c r="AZ69" s="715">
        <f>SUM('Forecast Drivers'!L25,'Forecast Drivers'!L68,'Forecast Drivers'!L113)/SUM('Forecast Drivers'!$E$25,'Forecast Drivers'!$E$68,'Forecast Drivers'!$E$113)*$AS$67</f>
        <v>14244861.135953542</v>
      </c>
      <c r="BA69" s="715">
        <f>SUM('Forecast Drivers'!M25,'Forecast Drivers'!M68,'Forecast Drivers'!M113)/SUM('Forecast Drivers'!$E$25,'Forecast Drivers'!$E$68,'Forecast Drivers'!$E$113)*$AS$67</f>
        <v>14772603.099398993</v>
      </c>
    </row>
    <row r="70" spans="23:70" x14ac:dyDescent="0.2">
      <c r="W70" s="618" t="s">
        <v>489</v>
      </c>
      <c r="X70" s="619"/>
      <c r="Y70" s="620"/>
      <c r="Z70" s="620"/>
      <c r="AA70" s="621"/>
      <c r="AB70" s="621"/>
      <c r="AC70" s="621"/>
      <c r="AD70" s="621"/>
      <c r="AE70" s="621"/>
      <c r="AF70" s="621"/>
      <c r="AG70" s="621"/>
      <c r="AH70" s="597"/>
      <c r="AI70" s="598"/>
      <c r="AJ70" s="598"/>
      <c r="AK70" s="599"/>
      <c r="AR70" s="598">
        <f t="shared" ref="AR70:AZ70" si="29">AR65+AR68</f>
        <v>12418542</v>
      </c>
      <c r="AS70" s="598">
        <f t="shared" si="29"/>
        <v>12821158</v>
      </c>
      <c r="AT70" s="598">
        <f t="shared" si="29"/>
        <v>10655861</v>
      </c>
      <c r="AU70" s="598">
        <f t="shared" si="29"/>
        <v>9356892</v>
      </c>
      <c r="AV70" s="598">
        <f>AV65+AV68</f>
        <v>9404186.8471497968</v>
      </c>
      <c r="AW70" s="598">
        <f t="shared" si="29"/>
        <v>10110375.563026417</v>
      </c>
      <c r="AX70" s="598">
        <f t="shared" si="29"/>
        <v>10142085.784245413</v>
      </c>
      <c r="AY70" s="598">
        <f t="shared" si="29"/>
        <v>10413600.505740959</v>
      </c>
      <c r="AZ70" s="598">
        <f t="shared" si="29"/>
        <v>10651207.778366849</v>
      </c>
      <c r="BA70" s="598">
        <f>BA65+BA68</f>
        <v>11099609.952407395</v>
      </c>
    </row>
    <row r="71" spans="23:70" x14ac:dyDescent="0.2">
      <c r="W71" s="613"/>
      <c r="X71" s="614"/>
      <c r="Y71" s="615"/>
      <c r="Z71" s="615"/>
      <c r="AA71" s="616"/>
      <c r="AB71" s="617"/>
      <c r="AC71" s="617"/>
      <c r="AD71" s="617"/>
      <c r="AE71" s="617"/>
      <c r="AF71" s="617"/>
      <c r="AG71" s="617"/>
      <c r="AH71" s="594"/>
      <c r="AI71" s="517"/>
      <c r="AJ71" s="517"/>
      <c r="AK71" s="592"/>
      <c r="AR71" s="517"/>
      <c r="AS71" s="517"/>
      <c r="AT71" s="517"/>
      <c r="AU71" s="517"/>
      <c r="AW71" s="517">
        <f t="shared" ref="AW71:BA71" si="30">AW70-AV70</f>
        <v>706188.71587662026</v>
      </c>
      <c r="AX71" s="517">
        <f t="shared" si="30"/>
        <v>31710.22121899575</v>
      </c>
      <c r="AY71" s="517">
        <f t="shared" si="30"/>
        <v>271514.7214955464</v>
      </c>
      <c r="AZ71" s="517">
        <f t="shared" si="30"/>
        <v>237607.27262588963</v>
      </c>
      <c r="BA71" s="517">
        <f t="shared" si="30"/>
        <v>448402.17404054664</v>
      </c>
    </row>
    <row r="72" spans="23:70" x14ac:dyDescent="0.2">
      <c r="W72" s="602" t="s">
        <v>275</v>
      </c>
      <c r="X72" s="597">
        <f>X70+X65</f>
        <v>1514444</v>
      </c>
      <c r="Y72" s="598">
        <f>Y70+Y65</f>
        <v>1222911</v>
      </c>
      <c r="Z72" s="598">
        <f>Z70+Z65</f>
        <v>1125519</v>
      </c>
      <c r="AA72" s="599">
        <f>AA70+AA65</f>
        <v>1257116</v>
      </c>
      <c r="AH72" s="597">
        <f>AH70+AH65</f>
        <v>-533579</v>
      </c>
      <c r="AI72" s="598">
        <f>AI70+AI65</f>
        <v>-536034</v>
      </c>
      <c r="AJ72" s="598">
        <f>AJ70+AJ65</f>
        <v>-492313</v>
      </c>
      <c r="AK72" s="599">
        <f>AK70+AK65</f>
        <v>-484014</v>
      </c>
      <c r="AR72" s="598"/>
      <c r="AS72" s="598"/>
      <c r="AT72" s="598"/>
      <c r="AU72" s="598"/>
      <c r="AV72" s="517"/>
      <c r="AW72" s="517"/>
      <c r="AX72" s="517"/>
      <c r="AY72" s="517"/>
      <c r="AZ72" s="517"/>
      <c r="BA72" s="517"/>
      <c r="BP72" s="531">
        <v>88</v>
      </c>
      <c r="BQ72" s="531" t="s">
        <v>490</v>
      </c>
    </row>
    <row r="73" spans="23:70" x14ac:dyDescent="0.2">
      <c r="BP73" s="531" t="s">
        <v>491</v>
      </c>
      <c r="BQ73" s="531">
        <v>13255000</v>
      </c>
    </row>
    <row r="74" spans="23:70" x14ac:dyDescent="0.2">
      <c r="W74" s="604" t="s">
        <v>492</v>
      </c>
      <c r="X74" s="517"/>
      <c r="Y74" s="517"/>
      <c r="Z74" s="517"/>
      <c r="AA74" s="517"/>
      <c r="AB74" s="517"/>
      <c r="AC74" s="517"/>
      <c r="AD74" s="517"/>
      <c r="AE74" s="517"/>
      <c r="AF74" s="517"/>
      <c r="AG74" s="517"/>
      <c r="AH74" s="517"/>
      <c r="AI74" s="517"/>
      <c r="AJ74" s="517"/>
      <c r="AK74" s="517"/>
      <c r="AL74" s="517"/>
      <c r="AM74" s="517"/>
      <c r="AN74" s="517"/>
      <c r="AO74" s="517"/>
      <c r="AP74" s="517"/>
      <c r="AR74" s="531" t="e">
        <f>#REF!/#REF!</f>
        <v>#REF!</v>
      </c>
      <c r="AS74" s="531" t="e">
        <f>#REF!/#REF!</f>
        <v>#REF!</v>
      </c>
      <c r="AT74" s="531" t="e">
        <f>#REF!/#REF!</f>
        <v>#REF!</v>
      </c>
      <c r="AU74" s="604" t="s">
        <v>492</v>
      </c>
      <c r="BP74" s="531">
        <v>2023</v>
      </c>
      <c r="BQ74" s="531">
        <v>600000</v>
      </c>
      <c r="BR74" s="531" t="s">
        <v>493</v>
      </c>
    </row>
    <row r="75" spans="23:70" x14ac:dyDescent="0.2">
      <c r="W75" s="595" t="s">
        <v>478</v>
      </c>
      <c r="X75" s="517"/>
      <c r="Y75" s="517"/>
      <c r="Z75" s="517"/>
      <c r="AA75" s="517"/>
      <c r="AB75" s="517"/>
      <c r="AC75" s="517"/>
      <c r="AD75" s="517"/>
      <c r="AE75" s="517"/>
      <c r="AF75" s="517"/>
      <c r="AG75" s="517"/>
      <c r="AH75" s="517"/>
      <c r="AJ75" s="517"/>
      <c r="AK75" s="517"/>
      <c r="AL75" s="517"/>
      <c r="AM75" s="517"/>
      <c r="AN75" s="517"/>
      <c r="AO75" s="517"/>
      <c r="AP75" s="517"/>
      <c r="AR75" s="517">
        <f>0</f>
        <v>0</v>
      </c>
      <c r="AS75" s="517">
        <f>0</f>
        <v>0</v>
      </c>
      <c r="AT75" s="517">
        <f>0</f>
        <v>0</v>
      </c>
      <c r="AU75" s="595" t="s">
        <v>478</v>
      </c>
      <c r="AV75" s="517">
        <f>AV56-AU56</f>
        <v>0</v>
      </c>
      <c r="AW75" s="517">
        <f>AW56-AV56</f>
        <v>0</v>
      </c>
      <c r="AX75" s="517">
        <f>AX56-AW56</f>
        <v>0</v>
      </c>
      <c r="AY75" s="517">
        <v>0</v>
      </c>
      <c r="AZ75" s="517">
        <f>AZ56-AY56</f>
        <v>0</v>
      </c>
      <c r="BA75" s="517">
        <f>BA56-AZ56</f>
        <v>0</v>
      </c>
      <c r="BC75">
        <v>-395.93599999999998</v>
      </c>
      <c r="BP75" s="531" t="s">
        <v>494</v>
      </c>
      <c r="BQ75" s="531" t="s">
        <v>495</v>
      </c>
    </row>
    <row r="76" spans="23:70" x14ac:dyDescent="0.2">
      <c r="W76" s="595" t="s">
        <v>479</v>
      </c>
      <c r="X76" s="517"/>
      <c r="Y76" s="517"/>
      <c r="Z76" s="517"/>
      <c r="AA76" s="517"/>
      <c r="AB76" s="517"/>
      <c r="AC76" s="517"/>
      <c r="AD76" s="517"/>
      <c r="AE76" s="517"/>
      <c r="AF76" s="517"/>
      <c r="AG76" s="517"/>
      <c r="AH76" s="517"/>
      <c r="AI76" s="517"/>
      <c r="AJ76" s="517"/>
      <c r="AK76" s="517"/>
      <c r="AL76" s="517"/>
      <c r="AM76" s="517"/>
      <c r="AN76" s="517"/>
      <c r="AO76" s="517"/>
      <c r="AP76" s="517"/>
      <c r="AR76" s="517">
        <f>0</f>
        <v>0</v>
      </c>
      <c r="AS76" s="517">
        <f>0</f>
        <v>0</v>
      </c>
      <c r="AT76" s="517">
        <f>0</f>
        <v>0</v>
      </c>
      <c r="AU76" s="595" t="s">
        <v>479</v>
      </c>
      <c r="AV76" s="517">
        <f>0</f>
        <v>0</v>
      </c>
      <c r="AW76" s="517">
        <f>0</f>
        <v>0</v>
      </c>
      <c r="AX76" s="517">
        <f>0</f>
        <v>0</v>
      </c>
      <c r="AY76" s="517">
        <f>0</f>
        <v>0</v>
      </c>
      <c r="AZ76" s="517">
        <f>0</f>
        <v>0</v>
      </c>
      <c r="BA76" s="517">
        <f>0</f>
        <v>0</v>
      </c>
      <c r="BP76" s="531">
        <v>2022</v>
      </c>
      <c r="BQ76" s="531" t="s">
        <v>496</v>
      </c>
    </row>
    <row r="77" spans="23:70" x14ac:dyDescent="0.2">
      <c r="W77" s="595" t="s">
        <v>480</v>
      </c>
      <c r="X77" s="517"/>
      <c r="Y77" s="517"/>
      <c r="Z77" s="517"/>
      <c r="AA77" s="517"/>
      <c r="AB77" s="517"/>
      <c r="AC77" s="517"/>
      <c r="AD77" s="517"/>
      <c r="AE77" s="517"/>
      <c r="AF77" s="517"/>
      <c r="AG77" s="517"/>
      <c r="AH77" s="517"/>
      <c r="AI77" s="517"/>
      <c r="AJ77" s="517"/>
      <c r="AK77" s="517"/>
      <c r="AL77" s="517"/>
      <c r="AM77" s="517"/>
      <c r="AN77" s="517"/>
      <c r="AO77" s="517"/>
      <c r="AP77" s="517"/>
      <c r="AR77" s="517">
        <f>4074</f>
        <v>4074</v>
      </c>
      <c r="AS77" s="517">
        <f>4074</f>
        <v>4074</v>
      </c>
      <c r="AT77" s="517">
        <f>4074</f>
        <v>4074</v>
      </c>
      <c r="AU77" s="595" t="s">
        <v>480</v>
      </c>
      <c r="AV77" s="517">
        <f>4074</f>
        <v>4074</v>
      </c>
      <c r="AW77" s="517">
        <f>4074</f>
        <v>4074</v>
      </c>
      <c r="AX77" s="517">
        <f>4074</f>
        <v>4074</v>
      </c>
      <c r="AY77" s="517">
        <f>4074</f>
        <v>4074</v>
      </c>
      <c r="AZ77" s="517">
        <f>4074</f>
        <v>4074</v>
      </c>
      <c r="BA77" s="517">
        <f>4074</f>
        <v>4074</v>
      </c>
      <c r="BP77" s="531" t="s">
        <v>494</v>
      </c>
      <c r="BQ77" s="531" t="s">
        <v>497</v>
      </c>
    </row>
    <row r="78" spans="23:70" x14ac:dyDescent="0.2">
      <c r="W78" s="595" t="s">
        <v>481</v>
      </c>
      <c r="X78" s="517"/>
      <c r="Y78" s="517"/>
      <c r="Z78" s="517"/>
      <c r="AA78" s="517"/>
      <c r="AB78" s="517"/>
      <c r="AC78" s="517"/>
      <c r="AD78" s="517"/>
      <c r="AE78" s="517"/>
      <c r="AF78" s="517"/>
      <c r="AG78" s="517"/>
      <c r="AH78" s="517"/>
      <c r="AP78" s="517"/>
      <c r="AS78" s="517"/>
      <c r="AT78" s="517"/>
      <c r="AU78" s="595" t="s">
        <v>481</v>
      </c>
      <c r="AV78" s="517"/>
      <c r="AW78" s="517"/>
      <c r="AX78" s="517"/>
      <c r="AY78" s="517"/>
      <c r="AZ78" s="517"/>
      <c r="BA78" s="517"/>
    </row>
    <row r="79" spans="23:70" x14ac:dyDescent="0.2">
      <c r="W79" s="600" t="s">
        <v>498</v>
      </c>
      <c r="X79" s="517"/>
      <c r="Y79" s="517"/>
      <c r="Z79" s="517"/>
      <c r="AA79" s="517"/>
      <c r="AB79" s="517"/>
      <c r="AC79" s="517"/>
      <c r="AD79" s="517"/>
      <c r="AE79" s="517"/>
      <c r="AF79" s="517"/>
      <c r="AG79" s="517"/>
      <c r="AH79" s="517"/>
      <c r="AI79" s="517"/>
      <c r="AJ79" s="517"/>
      <c r="AK79" s="517"/>
      <c r="AL79" s="517"/>
      <c r="AM79" s="517"/>
      <c r="AN79" s="517"/>
      <c r="AO79" s="517"/>
      <c r="AP79" s="517"/>
      <c r="AR79" s="517"/>
      <c r="AS79" s="517"/>
      <c r="AT79" s="517"/>
      <c r="AU79" s="600" t="s">
        <v>498</v>
      </c>
      <c r="AV79" s="517">
        <f>620349</f>
        <v>620349</v>
      </c>
      <c r="AW79" s="517">
        <f t="shared" ref="AW79" si="31">620349</f>
        <v>620349</v>
      </c>
      <c r="AX79" s="517">
        <f>AW79+(AX59-AW59)*(1+$AV$79/$AA$59)*($AV$79/$AA$59)</f>
        <v>620349</v>
      </c>
      <c r="AY79" s="517">
        <f>AX79+(AY59-AX59)*(1+$AV$79/$AA$59)*($AV$79/$AA$59)</f>
        <v>620349</v>
      </c>
      <c r="AZ79" s="517">
        <f>AY79+(AZ59-AY59)*(1+$AV$79/$AA$59)*($AV$79/$AA$59)</f>
        <v>620349</v>
      </c>
      <c r="BA79" s="517">
        <f>AZ79+(BA59-AZ59)*(1+$AV$79/$AA$59)*($AV$79/$AA$59)</f>
        <v>620349</v>
      </c>
    </row>
    <row r="80" spans="23:70" x14ac:dyDescent="0.2">
      <c r="W80" s="600" t="s">
        <v>499</v>
      </c>
      <c r="X80" s="517"/>
      <c r="Y80" s="517"/>
      <c r="Z80" s="517"/>
      <c r="AA80" s="517"/>
      <c r="AB80" s="517"/>
      <c r="AC80" s="517"/>
      <c r="AD80" s="517"/>
      <c r="AE80" s="517"/>
      <c r="AF80" s="517"/>
      <c r="AG80" s="517"/>
      <c r="AH80" s="517"/>
      <c r="AI80" s="517"/>
      <c r="AJ80" s="517"/>
      <c r="AK80" s="517"/>
      <c r="AL80" s="517"/>
      <c r="AM80" s="517"/>
      <c r="AN80" s="517"/>
      <c r="AO80" s="517"/>
      <c r="AP80" s="517"/>
      <c r="AR80" s="517"/>
      <c r="AS80" s="517"/>
      <c r="AT80" s="517"/>
      <c r="AU80" s="600"/>
      <c r="AV80" s="517"/>
      <c r="AW80" s="517"/>
      <c r="AX80" s="517"/>
      <c r="AY80" s="517"/>
      <c r="AZ80" s="517"/>
      <c r="BA80" s="517"/>
    </row>
    <row r="81" spans="23:53" x14ac:dyDescent="0.2">
      <c r="W81" s="595" t="s">
        <v>482</v>
      </c>
      <c r="X81" s="517"/>
      <c r="Y81" s="517"/>
      <c r="Z81" s="517"/>
      <c r="AA81" s="517"/>
      <c r="AB81" s="517"/>
      <c r="AC81" s="517"/>
      <c r="AD81" s="517"/>
      <c r="AE81" s="517"/>
      <c r="AF81" s="517"/>
      <c r="AG81" s="517"/>
      <c r="AH81" s="517"/>
      <c r="AI81" s="517"/>
      <c r="AJ81" s="517"/>
      <c r="AK81" s="517"/>
      <c r="AL81" s="517"/>
      <c r="AM81" s="517"/>
      <c r="AN81" s="517"/>
      <c r="AO81" s="517"/>
      <c r="AP81" s="517"/>
      <c r="AR81" s="517"/>
      <c r="AS81" s="517"/>
      <c r="AT81" s="517"/>
      <c r="AU81" s="595" t="s">
        <v>482</v>
      </c>
      <c r="AV81" s="517">
        <f>$AH$60-$AI$60+ABS($AH$60-$AI$60)/$Y$60*(1+ABS($AH$60-$AI$60)/$Y$60)*(AV60-AU60)</f>
        <v>829.09021829508504</v>
      </c>
      <c r="AW81" s="517">
        <f>$AH$60-$AI$60+ABS($AH$60-$AI$60)/$Y$60*(1+ABS($AH$60-$AI$60)/$Y$60)*(AW60-AV60)+AV81</f>
        <v>1626.5327300063059</v>
      </c>
      <c r="AX81" s="517">
        <f t="shared" ref="AX81:BA81" si="32">$AH$60-$AI$60+ABS($AH$60-$AI$60)/$Y$60*(1+ABS($AH$60-$AI$60)/$Y$60)*(AX60-AW60)+AW81</f>
        <v>2426.1328082359928</v>
      </c>
      <c r="AY81" s="517">
        <f t="shared" si="32"/>
        <v>3213.5357885669287</v>
      </c>
      <c r="AZ81" s="517">
        <f t="shared" si="32"/>
        <v>4000.6276061068424</v>
      </c>
      <c r="BA81" s="517">
        <f t="shared" si="32"/>
        <v>4787.9783229410496</v>
      </c>
    </row>
    <row r="82" spans="23:53" x14ac:dyDescent="0.2">
      <c r="W82" s="595" t="s">
        <v>483</v>
      </c>
      <c r="X82" s="517"/>
      <c r="Y82" s="517"/>
      <c r="Z82" s="517"/>
      <c r="AA82" s="517"/>
      <c r="AB82" s="517"/>
      <c r="AC82" s="517"/>
      <c r="AD82" s="517"/>
      <c r="AE82" s="517"/>
      <c r="AF82" s="517"/>
      <c r="AG82" s="517"/>
      <c r="AH82" s="517"/>
      <c r="AI82" s="517"/>
      <c r="AJ82" s="517"/>
      <c r="AK82" s="517"/>
      <c r="AL82" s="517"/>
      <c r="AM82" s="517"/>
      <c r="AN82" s="517"/>
      <c r="AO82" s="517"/>
      <c r="AP82" s="517"/>
      <c r="AR82" s="517"/>
      <c r="AS82" s="517"/>
      <c r="AT82" s="517"/>
      <c r="AU82" s="595" t="s">
        <v>483</v>
      </c>
      <c r="AV82" s="517">
        <f>4345/$AA$61*(1+4345/$AA$61)*(AV61-AU61)+4345</f>
        <v>4346.9570518081864</v>
      </c>
      <c r="AW82" s="517">
        <f>4345/$AA$61*(1+4345/$AA$61)*(AW61-AV61)+AV82</f>
        <v>4425.685464526603</v>
      </c>
      <c r="AX82" s="517">
        <f t="shared" ref="AX82:BA82" si="33">4345/$AA$61*(1+4345/$AA$61)*(AX61-AW61)+AW82</f>
        <v>4515.4134989716968</v>
      </c>
      <c r="AY82" s="517">
        <f t="shared" si="33"/>
        <v>4542.958763198003</v>
      </c>
      <c r="AZ82" s="517">
        <f t="shared" si="33"/>
        <v>4568.9176693827994</v>
      </c>
      <c r="BA82" s="517">
        <f t="shared" si="33"/>
        <v>4596.1964858823676</v>
      </c>
    </row>
    <row r="83" spans="23:53" x14ac:dyDescent="0.2">
      <c r="W83" s="595" t="s">
        <v>484</v>
      </c>
      <c r="X83" s="517"/>
      <c r="Y83" s="517"/>
      <c r="Z83" s="517"/>
      <c r="AA83" s="517"/>
      <c r="AB83" s="517"/>
      <c r="AC83" s="517"/>
      <c r="AD83" s="517"/>
      <c r="AE83" s="517"/>
      <c r="AF83" s="517"/>
      <c r="AG83" s="517"/>
      <c r="AH83" s="517"/>
      <c r="AI83" s="517"/>
      <c r="AJ83" s="517"/>
      <c r="AK83" s="517"/>
      <c r="AL83" s="517"/>
      <c r="AM83" s="517"/>
      <c r="AN83" s="517"/>
      <c r="AO83" s="517"/>
      <c r="AP83" s="517"/>
      <c r="AR83" s="517"/>
      <c r="AS83" s="517"/>
      <c r="AT83" s="517"/>
      <c r="AU83" s="595" t="s">
        <v>484</v>
      </c>
      <c r="AV83" s="517">
        <v>8304</v>
      </c>
      <c r="AW83" s="517">
        <v>8304</v>
      </c>
      <c r="AX83" s="517">
        <v>8304</v>
      </c>
      <c r="AY83" s="517">
        <v>8304</v>
      </c>
      <c r="AZ83" s="517">
        <v>8304</v>
      </c>
      <c r="BA83" s="517">
        <v>8304</v>
      </c>
    </row>
    <row r="84" spans="23:53" x14ac:dyDescent="0.2">
      <c r="W84" s="595" t="s">
        <v>485</v>
      </c>
      <c r="X84" s="517"/>
      <c r="Y84" s="517"/>
      <c r="Z84" s="517"/>
      <c r="AA84" s="517"/>
      <c r="AB84" s="517"/>
      <c r="AC84" s="517"/>
      <c r="AD84" s="517"/>
      <c r="AE84" s="517"/>
      <c r="AF84" s="517"/>
      <c r="AG84" s="517"/>
      <c r="AH84" s="517"/>
      <c r="AI84" s="517"/>
      <c r="AJ84" s="517"/>
      <c r="AK84" s="517"/>
      <c r="AL84" s="517"/>
      <c r="AM84" s="517"/>
      <c r="AN84" s="517"/>
      <c r="AO84" s="517"/>
      <c r="AP84" s="517"/>
      <c r="AR84" s="517"/>
      <c r="AS84" s="517"/>
      <c r="AT84" s="517"/>
      <c r="AU84" s="595" t="s">
        <v>485</v>
      </c>
      <c r="AV84" s="517">
        <f>61/$AA$63*(1+61/$AA$63)*(AV63-AU63)+61</f>
        <v>61.886569756567532</v>
      </c>
      <c r="AW84" s="517">
        <f>61/$AA$63*(1+61/$AA$63)*(AW63-AV63)+AV84</f>
        <v>62.927541730352999</v>
      </c>
      <c r="AX84" s="517">
        <f t="shared" ref="AX84:BA84" si="34">61/$AA$63*(1+61/$AA$63)*(AX63-AW63)+AW84</f>
        <v>64.113954181652815</v>
      </c>
      <c r="AY84" s="517">
        <f t="shared" si="34"/>
        <v>64.478166377479198</v>
      </c>
      <c r="AZ84" s="517">
        <f t="shared" si="34"/>
        <v>64.821403245535322</v>
      </c>
      <c r="BA84" s="517">
        <f t="shared" si="34"/>
        <v>65.182092385244658</v>
      </c>
    </row>
    <row r="85" spans="23:53" x14ac:dyDescent="0.2">
      <c r="W85" s="595" t="s">
        <v>486</v>
      </c>
      <c r="X85" s="517"/>
      <c r="Y85" s="517"/>
      <c r="Z85" s="517"/>
      <c r="AA85" s="517"/>
      <c r="AB85" s="517"/>
      <c r="AC85" s="517"/>
      <c r="AD85" s="517"/>
      <c r="AE85" s="517"/>
      <c r="AF85" s="517"/>
      <c r="AG85" s="517"/>
      <c r="AH85" s="517"/>
      <c r="AI85" s="517"/>
      <c r="AJ85" s="517"/>
      <c r="AK85" s="517"/>
      <c r="AL85" s="517"/>
      <c r="AM85" s="517"/>
      <c r="AN85" s="517"/>
      <c r="AO85" s="517"/>
      <c r="AP85" s="517"/>
      <c r="AR85" s="517"/>
      <c r="AS85" s="517"/>
      <c r="AT85" s="517"/>
      <c r="AU85" s="595" t="s">
        <v>486</v>
      </c>
      <c r="AV85" s="517">
        <v>11649</v>
      </c>
      <c r="AW85" s="517">
        <v>11649</v>
      </c>
      <c r="AX85" s="517">
        <v>11649</v>
      </c>
      <c r="AY85" s="517">
        <v>11649</v>
      </c>
      <c r="AZ85" s="517">
        <v>11649</v>
      </c>
      <c r="BA85" s="517">
        <v>11649</v>
      </c>
    </row>
    <row r="86" spans="23:53" x14ac:dyDescent="0.2">
      <c r="W86" s="596" t="s">
        <v>487</v>
      </c>
      <c r="X86" s="517"/>
      <c r="Y86" s="517"/>
      <c r="Z86" s="517"/>
      <c r="AA86" s="517"/>
      <c r="AB86" s="517"/>
      <c r="AC86" s="517"/>
      <c r="AD86" s="517"/>
      <c r="AE86" s="517"/>
      <c r="AF86" s="517"/>
      <c r="AG86" s="517"/>
      <c r="AH86" s="517"/>
      <c r="AI86" s="517"/>
      <c r="AJ86" s="517"/>
      <c r="AK86" s="517"/>
      <c r="AL86" s="517"/>
      <c r="AM86" s="517"/>
      <c r="AN86" s="517"/>
      <c r="AO86" s="517"/>
      <c r="AP86" s="517"/>
      <c r="AR86" s="517"/>
      <c r="AS86" s="517"/>
      <c r="AT86" s="517"/>
      <c r="AU86" s="596" t="s">
        <v>487</v>
      </c>
      <c r="AV86" s="597">
        <f>SUM(AV81:AV85,AV75:AV77)+AV79</f>
        <v>649613.93383985979</v>
      </c>
      <c r="AW86" s="597">
        <f t="shared" ref="AW86:BA86" si="35">SUM(AW81:AW85,AW75:AW77)+AW79</f>
        <v>650491.14573626325</v>
      </c>
      <c r="AX86" s="597">
        <f t="shared" si="35"/>
        <v>651381.66026138933</v>
      </c>
      <c r="AY86" s="597">
        <f>SUM(AY81:AY85,AY75:AY77)+AX79</f>
        <v>652196.97271814244</v>
      </c>
      <c r="AZ86" s="597">
        <f t="shared" si="35"/>
        <v>653010.36667873512</v>
      </c>
      <c r="BA86" s="597">
        <f t="shared" si="35"/>
        <v>653825.35690120864</v>
      </c>
    </row>
    <row r="87" spans="23:53" x14ac:dyDescent="0.2">
      <c r="W87" s="595"/>
      <c r="X87" s="517"/>
      <c r="Y87" s="517"/>
      <c r="Z87" s="517"/>
      <c r="AA87" s="517"/>
      <c r="AB87" s="517"/>
      <c r="AC87" s="517"/>
      <c r="AD87" s="517"/>
      <c r="AE87" s="517"/>
      <c r="AF87" s="517"/>
      <c r="AG87" s="517"/>
      <c r="AH87" s="517"/>
      <c r="AI87" s="517"/>
      <c r="AJ87" s="517"/>
      <c r="AK87" s="517"/>
      <c r="AL87" s="517"/>
      <c r="AM87" s="517"/>
      <c r="AN87" s="517"/>
      <c r="AO87" s="517"/>
      <c r="AP87" s="517"/>
      <c r="AR87" s="517"/>
      <c r="AS87" s="517"/>
      <c r="AT87" s="517"/>
      <c r="AU87" s="595"/>
      <c r="AV87" s="517"/>
      <c r="AW87" s="517"/>
      <c r="AX87" s="517"/>
      <c r="AY87" s="517"/>
      <c r="AZ87" s="517"/>
      <c r="BA87" s="517"/>
    </row>
    <row r="88" spans="23:53" x14ac:dyDescent="0.2">
      <c r="W88" s="595" t="s">
        <v>500</v>
      </c>
      <c r="X88" s="517"/>
      <c r="Y88" s="517"/>
      <c r="Z88" s="517"/>
      <c r="AA88" s="517"/>
      <c r="AB88" s="517"/>
      <c r="AC88" s="517"/>
      <c r="AD88" s="517"/>
      <c r="AE88" s="517"/>
      <c r="AF88" s="517"/>
      <c r="AG88" s="517"/>
      <c r="AH88" s="517"/>
      <c r="AI88" s="517"/>
      <c r="AJ88" s="517"/>
      <c r="AK88" s="517"/>
      <c r="AL88" s="517"/>
      <c r="AM88" s="517"/>
      <c r="AN88" s="517"/>
      <c r="AO88" s="517"/>
      <c r="AP88" s="517"/>
      <c r="AR88" s="517"/>
      <c r="AS88" s="517"/>
      <c r="AT88" s="517"/>
      <c r="AW88" s="517"/>
      <c r="AX88" s="517"/>
      <c r="AY88" s="517"/>
      <c r="AZ88" s="517"/>
      <c r="BA88" s="517"/>
    </row>
    <row r="89" spans="23:53" x14ac:dyDescent="0.2">
      <c r="W89" s="595" t="s">
        <v>501</v>
      </c>
      <c r="X89" s="517"/>
      <c r="Y89" s="517"/>
      <c r="Z89" s="517"/>
      <c r="AA89" s="517"/>
      <c r="AB89" s="517"/>
      <c r="AC89" s="517"/>
      <c r="AD89" s="517"/>
      <c r="AE89" s="517"/>
      <c r="AF89" s="517"/>
      <c r="AG89" s="517"/>
      <c r="AH89" s="517"/>
      <c r="AI89" s="517"/>
      <c r="AJ89" s="517"/>
      <c r="AK89" s="517"/>
      <c r="AL89" s="517"/>
      <c r="AM89" s="517"/>
      <c r="AN89" s="517"/>
      <c r="AO89" s="517"/>
      <c r="AP89" s="517"/>
      <c r="AR89" s="517"/>
      <c r="AS89" s="517"/>
      <c r="AT89" s="517"/>
      <c r="AU89" s="595" t="s">
        <v>500</v>
      </c>
      <c r="AV89" s="517">
        <f>ABS(AL68-AK68)</f>
        <v>339395.38152608834</v>
      </c>
      <c r="AW89" s="517">
        <f t="shared" ref="AW89:AZ89" si="36">ABS(AM68-AL68)</f>
        <v>403335.91873369459</v>
      </c>
      <c r="AX89" s="517">
        <f t="shared" si="36"/>
        <v>429424.5896526454</v>
      </c>
      <c r="AY89" s="517">
        <f t="shared" si="36"/>
        <v>472517.48358126916</v>
      </c>
      <c r="AZ89" s="517">
        <f t="shared" si="36"/>
        <v>516192.71391433384</v>
      </c>
      <c r="BA89" s="517">
        <f>ABS(AQ68-AP68)</f>
        <v>575591.02716730163</v>
      </c>
    </row>
    <row r="90" spans="23:53" x14ac:dyDescent="0.2">
      <c r="W90" s="595" t="s">
        <v>502</v>
      </c>
      <c r="X90" s="517"/>
      <c r="Y90" s="517"/>
      <c r="Z90" s="517"/>
      <c r="AA90" s="517"/>
      <c r="AB90" s="517"/>
      <c r="AC90" s="517"/>
      <c r="AD90" s="517"/>
      <c r="AE90" s="517"/>
      <c r="AF90" s="517"/>
      <c r="AG90" s="517"/>
      <c r="AH90" s="517"/>
      <c r="AI90" s="517"/>
      <c r="AJ90" s="517"/>
      <c r="AK90" s="517"/>
      <c r="AL90" s="517"/>
      <c r="AM90" s="517"/>
      <c r="AN90" s="517"/>
      <c r="AO90" s="517"/>
      <c r="AP90" s="517"/>
      <c r="AR90" s="517"/>
      <c r="AS90" s="517"/>
      <c r="AT90" s="517"/>
      <c r="AU90" s="595"/>
      <c r="AV90" s="517"/>
      <c r="AW90" s="517"/>
      <c r="AX90" s="517"/>
      <c r="AY90" s="517"/>
      <c r="AZ90" s="517"/>
      <c r="BA90" s="517"/>
    </row>
    <row r="91" spans="23:53" x14ac:dyDescent="0.2">
      <c r="W91" s="596" t="s">
        <v>489</v>
      </c>
      <c r="X91" s="517"/>
      <c r="Y91" s="517"/>
      <c r="Z91" s="517"/>
      <c r="AA91" s="517"/>
      <c r="AB91" s="517"/>
      <c r="AC91" s="517"/>
      <c r="AD91" s="517"/>
      <c r="AE91" s="517"/>
      <c r="AF91" s="517"/>
      <c r="AG91" s="517"/>
      <c r="AH91" s="517"/>
      <c r="AI91" s="517"/>
      <c r="AJ91" s="517"/>
      <c r="AK91" s="517"/>
      <c r="AL91" s="517"/>
      <c r="AM91" s="517"/>
      <c r="AN91" s="517"/>
      <c r="AO91" s="517"/>
      <c r="AP91" s="517"/>
      <c r="AR91" s="517"/>
      <c r="AS91" s="517"/>
      <c r="AT91" s="517"/>
      <c r="AU91" s="596" t="s">
        <v>489</v>
      </c>
      <c r="AV91" s="598">
        <f>SUM(AV89:AV90)</f>
        <v>339395.38152608834</v>
      </c>
      <c r="AW91" s="598">
        <f t="shared" ref="AW91:BA91" si="37">SUM(AW89:AW90)</f>
        <v>403335.91873369459</v>
      </c>
      <c r="AX91" s="598">
        <f t="shared" si="37"/>
        <v>429424.5896526454</v>
      </c>
      <c r="AY91" s="598">
        <f t="shared" si="37"/>
        <v>472517.48358126916</v>
      </c>
      <c r="AZ91" s="598">
        <f t="shared" si="37"/>
        <v>516192.71391433384</v>
      </c>
      <c r="BA91" s="598">
        <f t="shared" si="37"/>
        <v>575591.02716730163</v>
      </c>
    </row>
    <row r="92" spans="23:53" x14ac:dyDescent="0.2">
      <c r="W92" s="595"/>
      <c r="X92" s="517"/>
      <c r="Y92" s="517"/>
      <c r="Z92" s="517"/>
      <c r="AA92" s="517"/>
      <c r="AB92" s="517"/>
      <c r="AC92" s="517"/>
      <c r="AD92" s="517"/>
      <c r="AE92" s="517"/>
      <c r="AF92" s="517"/>
      <c r="AG92" s="517"/>
      <c r="AH92" s="517"/>
      <c r="AI92" s="517"/>
      <c r="AJ92" s="517"/>
      <c r="AK92" s="517"/>
      <c r="AL92" s="517"/>
      <c r="AM92" s="517"/>
      <c r="AN92" s="517"/>
      <c r="AO92" s="517"/>
      <c r="AP92" s="517"/>
      <c r="AR92" s="517"/>
      <c r="AS92" s="517"/>
      <c r="AT92" s="517"/>
      <c r="AU92" s="595"/>
      <c r="AV92" s="517"/>
      <c r="AW92" s="517"/>
      <c r="AX92" s="517"/>
      <c r="AY92" s="517"/>
      <c r="AZ92" s="517"/>
      <c r="BA92" s="517"/>
    </row>
    <row r="93" spans="23:53" x14ac:dyDescent="0.2">
      <c r="W93" s="602" t="s">
        <v>275</v>
      </c>
      <c r="X93" s="517"/>
      <c r="Y93" s="517"/>
      <c r="Z93" s="517"/>
      <c r="AA93" s="517"/>
      <c r="AB93" s="517"/>
      <c r="AC93" s="517"/>
      <c r="AD93" s="517"/>
      <c r="AE93" s="517"/>
      <c r="AF93" s="517"/>
      <c r="AG93" s="517"/>
      <c r="AH93" s="517"/>
      <c r="AI93" s="517"/>
      <c r="AJ93" s="517"/>
      <c r="AK93" s="517"/>
      <c r="AL93" s="517"/>
      <c r="AM93" s="517"/>
      <c r="AN93" s="517"/>
      <c r="AO93" s="517"/>
      <c r="AP93" s="517"/>
      <c r="AR93" s="517"/>
      <c r="AS93" s="517"/>
      <c r="AT93" s="517"/>
      <c r="AU93" s="602" t="s">
        <v>275</v>
      </c>
      <c r="AV93" s="598">
        <f t="shared" ref="AV93:BA93" si="38">AV86+AV91</f>
        <v>989009.31536594813</v>
      </c>
      <c r="AW93" s="598">
        <f t="shared" si="38"/>
        <v>1053827.0644699577</v>
      </c>
      <c r="AX93" s="598">
        <f t="shared" si="38"/>
        <v>1080806.2499140347</v>
      </c>
      <c r="AY93" s="598">
        <f t="shared" si="38"/>
        <v>1124714.4562994116</v>
      </c>
      <c r="AZ93" s="598">
        <f t="shared" si="38"/>
        <v>1169203.0805930691</v>
      </c>
      <c r="BA93" s="598">
        <f t="shared" si="38"/>
        <v>1229416.3840685103</v>
      </c>
    </row>
    <row r="94" spans="23:53" x14ac:dyDescent="0.2">
      <c r="W94" s="604" t="s">
        <v>404</v>
      </c>
      <c r="AU94" s="730" t="s">
        <v>503</v>
      </c>
      <c r="AV94" s="731">
        <f>AV93+$W$21</f>
        <v>1183741.594526784</v>
      </c>
      <c r="AW94" s="731">
        <f t="shared" ref="AW94:BA94" si="39">AW93+$W$21</f>
        <v>1248559.3436307937</v>
      </c>
      <c r="AX94" s="731">
        <f t="shared" si="39"/>
        <v>1275538.5290748707</v>
      </c>
      <c r="AY94" s="731">
        <f t="shared" si="39"/>
        <v>1319446.7354602476</v>
      </c>
      <c r="AZ94" s="731">
        <f t="shared" si="39"/>
        <v>1363935.3597539051</v>
      </c>
      <c r="BA94" s="731">
        <f t="shared" si="39"/>
        <v>1424148.6632293463</v>
      </c>
    </row>
    <row r="95" spans="23:53" x14ac:dyDescent="0.2">
      <c r="W95" s="604"/>
      <c r="AU95" s="531" t="s">
        <v>504</v>
      </c>
      <c r="AV95" s="517">
        <v>1172000</v>
      </c>
      <c r="AW95" s="517">
        <v>1251000</v>
      </c>
      <c r="AX95" s="517">
        <v>1379000</v>
      </c>
      <c r="AY95" s="517">
        <v>1475000</v>
      </c>
      <c r="AZ95" s="517">
        <v>1536000</v>
      </c>
      <c r="BA95" s="517">
        <v>1628000</v>
      </c>
    </row>
    <row r="96" spans="23:53" x14ac:dyDescent="0.2">
      <c r="W96" s="604"/>
      <c r="AU96" s="732" t="s">
        <v>505</v>
      </c>
      <c r="AV96" s="528">
        <f>AV94-AV95</f>
        <v>11741.594526784029</v>
      </c>
      <c r="AW96" s="528">
        <f t="shared" ref="AW96:BA96" si="40">AW94-AW95</f>
        <v>-2440.6563692062628</v>
      </c>
      <c r="AX96" s="528">
        <f t="shared" si="40"/>
        <v>-103461.47092512925</v>
      </c>
      <c r="AY96" s="528">
        <f t="shared" si="40"/>
        <v>-155553.26453975239</v>
      </c>
      <c r="AZ96" s="528">
        <f t="shared" si="40"/>
        <v>-172064.6402460949</v>
      </c>
      <c r="BA96" s="528">
        <f t="shared" si="40"/>
        <v>-203851.33677065372</v>
      </c>
    </row>
    <row r="97" spans="23:60" x14ac:dyDescent="0.2">
      <c r="W97" s="604"/>
      <c r="AU97" s="732"/>
      <c r="AV97" s="528"/>
      <c r="AW97" s="528"/>
      <c r="AX97" s="528"/>
      <c r="AY97" s="528"/>
      <c r="AZ97" s="528"/>
      <c r="BA97" s="528"/>
    </row>
    <row r="98" spans="23:60" x14ac:dyDescent="0.2">
      <c r="W98" s="595" t="s">
        <v>479</v>
      </c>
      <c r="AU98" s="604" t="s">
        <v>404</v>
      </c>
    </row>
    <row r="99" spans="23:60" x14ac:dyDescent="0.2">
      <c r="W99" s="595" t="s">
        <v>480</v>
      </c>
      <c r="AU99" s="595" t="s">
        <v>478</v>
      </c>
      <c r="AV99" s="517">
        <f t="shared" ref="AV99:BA101" si="41">AV75</f>
        <v>0</v>
      </c>
      <c r="AW99" s="517">
        <f t="shared" si="41"/>
        <v>0</v>
      </c>
      <c r="AX99" s="517">
        <f t="shared" si="41"/>
        <v>0</v>
      </c>
      <c r="AY99" s="517">
        <f t="shared" si="41"/>
        <v>0</v>
      </c>
      <c r="AZ99" s="517">
        <f t="shared" si="41"/>
        <v>0</v>
      </c>
      <c r="BA99" s="517">
        <f t="shared" si="41"/>
        <v>0</v>
      </c>
    </row>
    <row r="100" spans="23:60" x14ac:dyDescent="0.2">
      <c r="W100" s="595" t="s">
        <v>481</v>
      </c>
      <c r="AU100" s="595" t="s">
        <v>479</v>
      </c>
      <c r="AV100" s="517">
        <f t="shared" si="41"/>
        <v>0</v>
      </c>
      <c r="AW100" s="517">
        <f t="shared" si="41"/>
        <v>0</v>
      </c>
      <c r="AX100" s="517">
        <f t="shared" si="41"/>
        <v>0</v>
      </c>
      <c r="AY100" s="517">
        <f t="shared" si="41"/>
        <v>0</v>
      </c>
      <c r="AZ100" s="517">
        <f t="shared" si="41"/>
        <v>0</v>
      </c>
      <c r="BA100" s="517">
        <f t="shared" si="41"/>
        <v>0</v>
      </c>
    </row>
    <row r="101" spans="23:60" x14ac:dyDescent="0.2">
      <c r="W101" s="600" t="s">
        <v>498</v>
      </c>
      <c r="AU101" s="595" t="s">
        <v>480</v>
      </c>
      <c r="AV101" s="517">
        <f>AV77</f>
        <v>4074</v>
      </c>
      <c r="AW101" s="517">
        <f t="shared" si="41"/>
        <v>4074</v>
      </c>
      <c r="AX101" s="517">
        <f t="shared" si="41"/>
        <v>4074</v>
      </c>
      <c r="AY101" s="517">
        <f t="shared" si="41"/>
        <v>4074</v>
      </c>
      <c r="AZ101" s="517">
        <f t="shared" si="41"/>
        <v>4074</v>
      </c>
      <c r="BA101" s="517">
        <f t="shared" si="41"/>
        <v>4074</v>
      </c>
    </row>
    <row r="102" spans="23:60" x14ac:dyDescent="0.2">
      <c r="W102" s="600" t="s">
        <v>499</v>
      </c>
      <c r="AU102" s="595" t="s">
        <v>481</v>
      </c>
      <c r="AV102" s="517"/>
      <c r="AW102" s="517"/>
      <c r="AX102" s="517"/>
      <c r="AY102" s="517"/>
      <c r="AZ102" s="517"/>
      <c r="BA102" s="517"/>
    </row>
    <row r="103" spans="23:60" x14ac:dyDescent="0.2">
      <c r="W103" s="595" t="s">
        <v>482</v>
      </c>
      <c r="AU103" s="600" t="s">
        <v>498</v>
      </c>
      <c r="AV103" s="517">
        <f t="shared" ref="AV103:BA103" si="42">AV79+(AV59-AU59)*(1+$AV$79/$AA$59)</f>
        <v>620349</v>
      </c>
      <c r="AW103" s="517">
        <f t="shared" si="42"/>
        <v>620349</v>
      </c>
      <c r="AX103" s="517">
        <f t="shared" si="42"/>
        <v>620349</v>
      </c>
      <c r="AY103" s="517">
        <f t="shared" si="42"/>
        <v>620349</v>
      </c>
      <c r="AZ103" s="517">
        <f t="shared" si="42"/>
        <v>620349</v>
      </c>
      <c r="BA103" s="517">
        <f t="shared" si="42"/>
        <v>620349</v>
      </c>
    </row>
    <row r="104" spans="23:60" x14ac:dyDescent="0.2">
      <c r="W104" s="595" t="s">
        <v>483</v>
      </c>
      <c r="AU104" s="600" t="s">
        <v>499</v>
      </c>
      <c r="AV104" s="517"/>
      <c r="AW104" s="517"/>
      <c r="AX104" s="517"/>
      <c r="AY104" s="517"/>
      <c r="AZ104" s="517"/>
      <c r="BA104" s="517"/>
    </row>
    <row r="105" spans="23:60" x14ac:dyDescent="0.2">
      <c r="W105" s="595" t="s">
        <v>484</v>
      </c>
      <c r="AU105" s="595" t="s">
        <v>482</v>
      </c>
      <c r="AV105" s="517">
        <f>(1+ABS($AH$60-$AI$60)/$Y$60)*(AV60-AU60)+AV81</f>
        <v>2855.8965704382713</v>
      </c>
      <c r="AW105" s="517">
        <f t="shared" ref="AW105:BA105" si="43">(1+ABS($AH$60-$AI$60)/$Y$60)*(AW60-AV60)+AW81</f>
        <v>2291.1926522266031</v>
      </c>
      <c r="AX105" s="517">
        <f t="shared" si="43"/>
        <v>3183.6563799173191</v>
      </c>
      <c r="AY105" s="517">
        <f t="shared" si="43"/>
        <v>3446.0850366214531</v>
      </c>
      <c r="AZ105" s="517">
        <f t="shared" si="43"/>
        <v>4219.7841211431796</v>
      </c>
      <c r="BA105" s="517">
        <f t="shared" si="43"/>
        <v>5018.2781019765198</v>
      </c>
    </row>
    <row r="106" spans="23:60" x14ac:dyDescent="0.2">
      <c r="W106" s="595" t="s">
        <v>485</v>
      </c>
      <c r="AU106" s="595" t="s">
        <v>483</v>
      </c>
      <c r="AV106" s="517">
        <f>(AV61-AU61)*(1+4345/$AA$61)+AV82</f>
        <v>4413.1617047605741</v>
      </c>
      <c r="AW106" s="517">
        <f t="shared" ref="AW106:BA106" si="44">(AW61-AV61)*(1+4345/$AA$61)+AW82</f>
        <v>7088.9707284688666</v>
      </c>
      <c r="AX106" s="517">
        <f t="shared" si="44"/>
        <v>7550.8024220894376</v>
      </c>
      <c r="AY106" s="517">
        <f t="shared" si="44"/>
        <v>5474.781135480579</v>
      </c>
      <c r="AZ106" s="517">
        <f t="shared" si="44"/>
        <v>5447.0755024043056</v>
      </c>
      <c r="BA106" s="517">
        <f t="shared" si="44"/>
        <v>5519.0052596465821</v>
      </c>
      <c r="BC106" s="507"/>
      <c r="BD106" s="507"/>
      <c r="BE106" s="507"/>
      <c r="BF106" s="507"/>
      <c r="BG106" s="507"/>
    </row>
    <row r="107" spans="23:60" x14ac:dyDescent="0.2">
      <c r="W107" s="595" t="s">
        <v>486</v>
      </c>
      <c r="AU107" s="595" t="s">
        <v>484</v>
      </c>
      <c r="AV107" s="517">
        <f t="shared" ref="AV107:BA109" si="45">AV62-AU62+AV83</f>
        <v>18235.159081600963</v>
      </c>
      <c r="AW107" s="517">
        <f t="shared" si="45"/>
        <v>15753.924235883555</v>
      </c>
      <c r="AX107" s="517">
        <f t="shared" si="45"/>
        <v>16794.798116831967</v>
      </c>
      <c r="AY107" s="517">
        <f t="shared" si="45"/>
        <v>10910.557460739568</v>
      </c>
      <c r="AZ107" s="517">
        <f t="shared" si="45"/>
        <v>10760.443330247683</v>
      </c>
      <c r="BA107" s="517">
        <f t="shared" si="45"/>
        <v>10885.344004650717</v>
      </c>
    </row>
    <row r="108" spans="23:60" x14ac:dyDescent="0.2">
      <c r="W108" s="596" t="s">
        <v>487</v>
      </c>
      <c r="AU108" s="595" t="s">
        <v>485</v>
      </c>
      <c r="AV108" s="517">
        <f t="shared" ref="AV108:BA108" si="46">(1+61/$AA$63)*(AV63-AU63)+AV84</f>
        <v>776.75247215870866</v>
      </c>
      <c r="AW108" s="517">
        <f t="shared" si="46"/>
        <v>902.29225488792827</v>
      </c>
      <c r="AX108" s="517">
        <f t="shared" si="46"/>
        <v>1020.7513776182574</v>
      </c>
      <c r="AY108" s="517">
        <f t="shared" si="46"/>
        <v>358.15261004823833</v>
      </c>
      <c r="AZ108" s="517">
        <f t="shared" si="46"/>
        <v>341.58285557682154</v>
      </c>
      <c r="BA108" s="517">
        <f t="shared" si="46"/>
        <v>356.01579772529863</v>
      </c>
    </row>
    <row r="109" spans="23:60" x14ac:dyDescent="0.2">
      <c r="W109" s="595"/>
      <c r="AU109" s="595" t="s">
        <v>486</v>
      </c>
      <c r="AV109" s="517">
        <f t="shared" si="45"/>
        <v>11649</v>
      </c>
      <c r="AW109" s="517">
        <f t="shared" si="45"/>
        <v>11649</v>
      </c>
      <c r="AX109" s="517">
        <f t="shared" si="45"/>
        <v>11649</v>
      </c>
      <c r="AY109" s="517">
        <f t="shared" si="45"/>
        <v>11649</v>
      </c>
      <c r="AZ109" s="517">
        <f t="shared" si="45"/>
        <v>11649</v>
      </c>
      <c r="BA109" s="517">
        <f t="shared" si="45"/>
        <v>11649</v>
      </c>
      <c r="BD109" s="507"/>
      <c r="BE109" s="507"/>
      <c r="BF109" s="507"/>
      <c r="BG109" s="507"/>
      <c r="BH109" s="507"/>
    </row>
    <row r="110" spans="23:60" x14ac:dyDescent="0.2">
      <c r="W110" s="595" t="s">
        <v>500</v>
      </c>
      <c r="AU110" s="596" t="s">
        <v>487</v>
      </c>
      <c r="AV110" s="597"/>
      <c r="AW110" s="597"/>
      <c r="AX110" s="597"/>
      <c r="AY110" s="597"/>
      <c r="AZ110" s="597"/>
      <c r="BA110" s="597"/>
    </row>
    <row r="111" spans="23:60" x14ac:dyDescent="0.2">
      <c r="W111" s="595" t="s">
        <v>501</v>
      </c>
      <c r="AU111" s="595" t="s">
        <v>506</v>
      </c>
      <c r="AV111" s="517">
        <f>SUM(AV99:AV109)</f>
        <v>662352.96982895862</v>
      </c>
      <c r="AW111" s="517">
        <f t="shared" ref="AW111:BA111" si="47">SUM(AW99:AW109)</f>
        <v>662108.3798714669</v>
      </c>
      <c r="AX111" s="517">
        <f t="shared" si="47"/>
        <v>664622.00829645689</v>
      </c>
      <c r="AY111" s="517">
        <f t="shared" si="47"/>
        <v>656261.57624288974</v>
      </c>
      <c r="AZ111" s="517">
        <f t="shared" si="47"/>
        <v>656840.88580937195</v>
      </c>
      <c r="BA111" s="517">
        <f t="shared" si="47"/>
        <v>657850.64316399908</v>
      </c>
      <c r="BC111" s="517"/>
      <c r="BD111" s="517"/>
      <c r="BE111" s="517"/>
      <c r="BF111" s="517"/>
      <c r="BG111" s="517"/>
      <c r="BH111" s="517"/>
    </row>
    <row r="112" spans="23:60" x14ac:dyDescent="0.2">
      <c r="W112" s="595" t="s">
        <v>502</v>
      </c>
      <c r="AU112" s="595" t="s">
        <v>500</v>
      </c>
      <c r="AV112" s="517">
        <f>AV68-AU68+AV89</f>
        <v>374000</v>
      </c>
      <c r="AW112" s="517">
        <f t="shared" ref="AW112:BA112" si="48">AW68-AV68+AW89</f>
        <v>1098000</v>
      </c>
      <c r="AX112" s="517">
        <f t="shared" si="48"/>
        <v>448000</v>
      </c>
      <c r="AY112" s="517">
        <f t="shared" si="48"/>
        <v>740000</v>
      </c>
      <c r="AZ112" s="517">
        <f t="shared" si="48"/>
        <v>750000</v>
      </c>
      <c r="BA112" s="517">
        <f t="shared" si="48"/>
        <v>1020000</v>
      </c>
      <c r="BC112" s="507"/>
      <c r="BD112" s="507"/>
      <c r="BE112" s="507"/>
      <c r="BF112" s="507"/>
      <c r="BG112" s="507"/>
      <c r="BH112" s="507"/>
    </row>
    <row r="113" spans="23:60" x14ac:dyDescent="0.2">
      <c r="W113" s="596" t="s">
        <v>489</v>
      </c>
      <c r="AU113" s="595" t="s">
        <v>507</v>
      </c>
      <c r="AV113" s="517">
        <f>$W$21</f>
        <v>194732.27916083598</v>
      </c>
      <c r="AW113" s="517">
        <f t="shared" ref="AW113:BA113" si="49">$W$21</f>
        <v>194732.27916083598</v>
      </c>
      <c r="AX113" s="517">
        <f t="shared" si="49"/>
        <v>194732.27916083598</v>
      </c>
      <c r="AY113" s="517">
        <f t="shared" si="49"/>
        <v>194732.27916083598</v>
      </c>
      <c r="AZ113" s="517">
        <f t="shared" si="49"/>
        <v>194732.27916083598</v>
      </c>
      <c r="BA113" s="517">
        <f t="shared" si="49"/>
        <v>194732.27916083598</v>
      </c>
    </row>
    <row r="114" spans="23:60" x14ac:dyDescent="0.2">
      <c r="W114" s="595"/>
      <c r="AU114" s="733" t="s">
        <v>508</v>
      </c>
      <c r="AV114" s="734">
        <f>AV111+AV113+AV112</f>
        <v>1231085.2489897946</v>
      </c>
      <c r="AW114" s="734">
        <f t="shared" ref="AW114:BA114" si="50">AW111+AW113+AW112</f>
        <v>1954840.6590323029</v>
      </c>
      <c r="AX114" s="734">
        <f t="shared" si="50"/>
        <v>1307354.2874572929</v>
      </c>
      <c r="AY114" s="734">
        <f t="shared" si="50"/>
        <v>1590993.8554037258</v>
      </c>
      <c r="AZ114" s="734">
        <f t="shared" si="50"/>
        <v>1601573.164970208</v>
      </c>
      <c r="BA114" s="734">
        <f t="shared" si="50"/>
        <v>1872582.9223248351</v>
      </c>
      <c r="BC114" s="507"/>
      <c r="BD114" s="507"/>
      <c r="BE114" s="507"/>
      <c r="BF114" s="507"/>
      <c r="BG114" s="507"/>
      <c r="BH114" s="507"/>
    </row>
    <row r="115" spans="23:60" x14ac:dyDescent="0.2">
      <c r="W115" s="602" t="s">
        <v>275</v>
      </c>
      <c r="AU115" s="595" t="s">
        <v>509</v>
      </c>
      <c r="AV115" s="517">
        <v>915000</v>
      </c>
      <c r="AW115" s="517">
        <v>1165000</v>
      </c>
      <c r="AX115" s="517">
        <v>1301000</v>
      </c>
      <c r="AY115" s="517">
        <v>1068000</v>
      </c>
      <c r="AZ115" s="517">
        <v>1024000</v>
      </c>
      <c r="BA115" s="517">
        <v>1068000</v>
      </c>
    </row>
    <row r="116" spans="23:60" x14ac:dyDescent="0.2">
      <c r="AU116" s="732" t="s">
        <v>505</v>
      </c>
      <c r="AV116" s="528">
        <f>AV114-AV115</f>
        <v>316085.24898979464</v>
      </c>
      <c r="AW116" s="528">
        <f t="shared" ref="AW116:BA116" si="51">AW114-AW115</f>
        <v>789840.65903230291</v>
      </c>
      <c r="AX116" s="528">
        <f t="shared" si="51"/>
        <v>6354.2874572928995</v>
      </c>
      <c r="AY116" s="528">
        <f t="shared" si="51"/>
        <v>522993.85540372576</v>
      </c>
      <c r="AZ116" s="528">
        <f t="shared" si="51"/>
        <v>577573.16497020796</v>
      </c>
      <c r="BA116" s="528">
        <f t="shared" si="51"/>
        <v>804582.92232483509</v>
      </c>
      <c r="BC116" s="517"/>
      <c r="BD116" s="517"/>
      <c r="BE116" s="517"/>
      <c r="BF116" s="517"/>
      <c r="BG116" s="517"/>
      <c r="BH116" s="517"/>
    </row>
    <row r="117" spans="23:60" x14ac:dyDescent="0.2">
      <c r="AU117" s="602"/>
      <c r="AV117" s="598"/>
      <c r="AW117" s="598"/>
      <c r="AX117" s="598"/>
      <c r="AY117" s="598"/>
      <c r="AZ117" s="598"/>
      <c r="BA117" s="598"/>
    </row>
  </sheetData>
  <mergeCells count="8">
    <mergeCell ref="AH54:AQ54"/>
    <mergeCell ref="AR54:BA54"/>
    <mergeCell ref="A1:K3"/>
    <mergeCell ref="D13:D14"/>
    <mergeCell ref="E13:E14"/>
    <mergeCell ref="F13:F14"/>
    <mergeCell ref="G13:L13"/>
    <mergeCell ref="X54:AG54"/>
  </mergeCells>
  <pageMargins left="0.7" right="0.7" top="0.75" bottom="0.75" header="0.3" footer="0.3"/>
  <drawing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0017-BCC9-4470-BA43-67E8DE91AB62}">
  <sheetPr>
    <tabColor theme="7" tint="0.79998168889431442"/>
  </sheetPr>
  <dimension ref="A1:AP81"/>
  <sheetViews>
    <sheetView zoomScale="91" workbookViewId="0">
      <selection sqref="A1:B1"/>
    </sheetView>
  </sheetViews>
  <sheetFormatPr baseColWidth="10" defaultColWidth="8.83203125" defaultRowHeight="15" x14ac:dyDescent="0.2"/>
  <cols>
    <col min="1" max="1" width="27.5" style="671" bestFit="1" customWidth="1"/>
    <col min="2" max="2" width="8.6640625" style="671" bestFit="1" customWidth="1"/>
    <col min="3" max="6" width="9.1640625" style="671" bestFit="1" customWidth="1"/>
    <col min="7" max="7" width="12.1640625" style="671" bestFit="1" customWidth="1"/>
    <col min="8" max="10" width="9.1640625" style="671" bestFit="1" customWidth="1"/>
    <col min="11" max="11" width="8.1640625" style="671" bestFit="1" customWidth="1"/>
    <col min="12" max="12" width="12.1640625" style="671" bestFit="1" customWidth="1"/>
    <col min="13" max="13" width="10.83203125" style="671" bestFit="1" customWidth="1"/>
    <col min="14" max="20" width="8.5" style="671" bestFit="1" customWidth="1"/>
    <col min="21" max="21" width="11.6640625" style="671" bestFit="1" customWidth="1"/>
    <col min="22" max="22" width="8.5" style="671" bestFit="1" customWidth="1"/>
    <col min="23" max="23" width="11.5" style="671" customWidth="1"/>
    <col min="24" max="24" width="11.33203125" style="671" customWidth="1"/>
    <col min="25" max="27" width="14" style="671" bestFit="1" customWidth="1"/>
    <col min="28" max="28" width="14.5" style="671" bestFit="1" customWidth="1"/>
    <col min="29" max="29" width="14" style="671" bestFit="1" customWidth="1"/>
    <col min="30" max="30" width="14.5" style="671" bestFit="1" customWidth="1"/>
    <col min="31" max="31" width="14" style="671" bestFit="1" customWidth="1"/>
    <col min="32" max="32" width="7.33203125" style="671" bestFit="1" customWidth="1"/>
    <col min="33" max="33" width="7.6640625" style="671" bestFit="1" customWidth="1"/>
    <col min="34" max="34" width="15.5" style="671" bestFit="1" customWidth="1"/>
    <col min="35" max="40" width="10.1640625" style="671" bestFit="1" customWidth="1"/>
    <col min="41" max="41" width="14" style="671" bestFit="1" customWidth="1"/>
    <col min="42" max="16384" width="8.83203125" style="671"/>
  </cols>
  <sheetData>
    <row r="1" spans="1:40" ht="16" x14ac:dyDescent="0.2">
      <c r="B1" s="695">
        <v>2011</v>
      </c>
      <c r="C1" s="695">
        <v>2012</v>
      </c>
      <c r="D1" s="695">
        <v>2013</v>
      </c>
      <c r="E1" s="695">
        <v>2014</v>
      </c>
      <c r="F1" s="695">
        <v>2015</v>
      </c>
      <c r="G1" s="695">
        <v>2016</v>
      </c>
      <c r="H1" s="695">
        <v>2017</v>
      </c>
      <c r="I1" s="695">
        <v>2018</v>
      </c>
      <c r="J1" s="695">
        <v>2019</v>
      </c>
      <c r="K1" s="695">
        <v>2020</v>
      </c>
      <c r="L1" s="695">
        <v>2021</v>
      </c>
      <c r="M1" s="695" t="s">
        <v>574</v>
      </c>
      <c r="N1" s="251"/>
      <c r="O1" s="251"/>
      <c r="P1" s="251"/>
      <c r="Q1" s="251"/>
      <c r="R1" s="251"/>
      <c r="S1" s="251"/>
      <c r="T1" s="251"/>
      <c r="U1" s="251"/>
      <c r="V1" s="251"/>
      <c r="W1" s="251" t="s">
        <v>575</v>
      </c>
      <c r="X1" s="251"/>
      <c r="Y1" s="251"/>
      <c r="Z1" s="251"/>
      <c r="AA1" s="251"/>
      <c r="AB1" s="251"/>
      <c r="AC1" s="251"/>
      <c r="AD1" s="251"/>
      <c r="AE1" s="251"/>
      <c r="AF1" s="251"/>
    </row>
    <row r="2" spans="1:40" ht="17" thickBot="1" x14ac:dyDescent="0.25">
      <c r="A2" s="681" t="s">
        <v>511</v>
      </c>
      <c r="B2" s="681">
        <v>4008910</v>
      </c>
      <c r="C2" s="681">
        <v>11016976</v>
      </c>
      <c r="D2" s="681">
        <v>11061557</v>
      </c>
      <c r="E2" s="681">
        <v>10380122</v>
      </c>
      <c r="F2" s="681">
        <v>8410614</v>
      </c>
      <c r="G2" s="681">
        <v>7877714.8144002035</v>
      </c>
      <c r="H2" s="681">
        <v>8494477</v>
      </c>
      <c r="I2" s="681">
        <v>8708988</v>
      </c>
      <c r="J2" s="681">
        <v>9005629</v>
      </c>
      <c r="K2" s="681">
        <v>2713774</v>
      </c>
      <c r="L2" s="681">
        <v>3342380.5721577452</v>
      </c>
      <c r="M2" s="681">
        <v>7759817.2455528546</v>
      </c>
      <c r="N2" s="251"/>
      <c r="O2" s="251"/>
      <c r="P2" s="251"/>
      <c r="T2" s="251"/>
      <c r="U2" s="251"/>
      <c r="V2" s="251"/>
      <c r="W2" s="251"/>
      <c r="X2" s="251"/>
      <c r="Y2" s="251"/>
      <c r="Z2" s="251"/>
      <c r="AA2" s="251"/>
      <c r="AB2" s="251"/>
      <c r="AC2" s="251"/>
      <c r="AD2" s="251"/>
      <c r="AE2" s="251"/>
      <c r="AF2" s="251"/>
    </row>
    <row r="3" spans="1:40" ht="16" x14ac:dyDescent="0.2">
      <c r="N3" s="251"/>
      <c r="O3" s="251"/>
      <c r="T3" s="251"/>
      <c r="U3" s="698"/>
      <c r="V3" s="698"/>
      <c r="W3" s="702" t="s">
        <v>576</v>
      </c>
      <c r="X3" s="702"/>
      <c r="Y3" s="251"/>
      <c r="Z3" s="251"/>
      <c r="AA3" s="251"/>
      <c r="AB3" s="251"/>
      <c r="AC3" s="251"/>
      <c r="AD3" s="251"/>
      <c r="AE3" s="251"/>
      <c r="AF3" s="251"/>
      <c r="AI3" s="671">
        <v>2022</v>
      </c>
      <c r="AJ3" s="671">
        <v>2023</v>
      </c>
      <c r="AK3" s="671">
        <v>2024</v>
      </c>
      <c r="AL3" s="671">
        <v>2025</v>
      </c>
      <c r="AM3" s="671">
        <v>2026</v>
      </c>
      <c r="AN3" s="671">
        <v>2027</v>
      </c>
    </row>
    <row r="4" spans="1:40" ht="16" x14ac:dyDescent="0.2">
      <c r="A4" s="678" t="s">
        <v>577</v>
      </c>
      <c r="B4" s="693">
        <v>1057063</v>
      </c>
      <c r="C4" s="693">
        <v>2545735</v>
      </c>
      <c r="D4" s="693">
        <v>2911079</v>
      </c>
      <c r="E4" s="693">
        <v>2715686</v>
      </c>
      <c r="F4" s="693">
        <v>2493402</v>
      </c>
      <c r="G4" s="693">
        <v>2775309</v>
      </c>
      <c r="H4" s="693">
        <v>2843052</v>
      </c>
      <c r="I4" s="693">
        <v>2459922</v>
      </c>
      <c r="J4" s="693">
        <v>2840483</v>
      </c>
      <c r="K4" s="693">
        <v>2113377</v>
      </c>
      <c r="L4" s="693">
        <v>2361050</v>
      </c>
      <c r="N4" s="251"/>
      <c r="O4" s="251"/>
      <c r="T4" s="251"/>
      <c r="U4" s="251"/>
      <c r="V4" s="251"/>
      <c r="W4" s="251" t="s">
        <v>578</v>
      </c>
      <c r="X4" s="251">
        <v>0.98452326405885715</v>
      </c>
      <c r="Y4" s="251"/>
      <c r="Z4" s="251"/>
      <c r="AA4" s="251"/>
      <c r="AB4" s="251"/>
      <c r="AC4" s="251"/>
      <c r="AD4" s="251"/>
      <c r="AE4" s="251"/>
      <c r="AF4" s="251"/>
      <c r="AH4" s="689" t="s">
        <v>9</v>
      </c>
      <c r="AI4" s="859">
        <v>1852457.1931257001</v>
      </c>
      <c r="AJ4" s="859">
        <v>2057815.5700450197</v>
      </c>
      <c r="AK4" s="859">
        <v>1793929.6094822579</v>
      </c>
      <c r="AL4" s="859">
        <v>1854026.2513999136</v>
      </c>
      <c r="AM4" s="859">
        <v>1714244.2567798342</v>
      </c>
      <c r="AN4" s="859">
        <v>1771671.4393819587</v>
      </c>
    </row>
    <row r="5" spans="1:40" ht="16" x14ac:dyDescent="0.2">
      <c r="A5" s="678" t="s">
        <v>579</v>
      </c>
      <c r="B5" s="693">
        <v>0</v>
      </c>
      <c r="C5" s="693">
        <v>99323</v>
      </c>
      <c r="D5" s="693">
        <v>77567</v>
      </c>
      <c r="E5" s="693">
        <v>355401</v>
      </c>
      <c r="F5" s="693">
        <v>272130</v>
      </c>
      <c r="G5" s="693">
        <v>213781</v>
      </c>
      <c r="H5" s="693">
        <v>158305</v>
      </c>
      <c r="I5" s="693">
        <v>644702</v>
      </c>
      <c r="J5" s="693">
        <v>500000</v>
      </c>
      <c r="K5" s="693">
        <v>74116</v>
      </c>
      <c r="L5" s="693">
        <v>512056</v>
      </c>
      <c r="N5" s="251"/>
      <c r="O5" s="251"/>
      <c r="S5" s="433" t="s">
        <v>9</v>
      </c>
      <c r="T5" s="433" t="s">
        <v>580</v>
      </c>
      <c r="U5" s="433" t="s">
        <v>581</v>
      </c>
      <c r="V5" s="251"/>
      <c r="W5" s="251" t="s">
        <v>582</v>
      </c>
      <c r="X5" s="251">
        <v>0.96928605747310614</v>
      </c>
      <c r="Y5" s="251"/>
      <c r="Z5" s="251"/>
      <c r="AA5" s="251"/>
      <c r="AB5" s="251"/>
      <c r="AC5" s="251"/>
      <c r="AD5" s="251"/>
      <c r="AE5" s="251"/>
      <c r="AF5" s="251"/>
      <c r="AH5" s="689" t="s">
        <v>580</v>
      </c>
      <c r="AI5" s="859">
        <v>3370995.0220274045</v>
      </c>
      <c r="AJ5" s="859">
        <v>3595682.7622250048</v>
      </c>
      <c r="AK5" s="859">
        <v>3688006.6814068179</v>
      </c>
      <c r="AL5" s="859">
        <v>3774898.3787753377</v>
      </c>
      <c r="AM5" s="859">
        <v>3871328.1541698701</v>
      </c>
      <c r="AN5" s="859">
        <v>3871328.1541698701</v>
      </c>
    </row>
    <row r="6" spans="1:40" ht="16" x14ac:dyDescent="0.2">
      <c r="A6" s="694" t="s">
        <v>583</v>
      </c>
      <c r="B6" s="692">
        <f>SUM(B4:B5)</f>
        <v>1057063</v>
      </c>
      <c r="C6" s="692">
        <v>2645058</v>
      </c>
      <c r="D6" s="692">
        <v>2988646</v>
      </c>
      <c r="E6" s="692">
        <v>3071087</v>
      </c>
      <c r="F6" s="692">
        <v>2765532</v>
      </c>
      <c r="G6" s="692">
        <v>2989090</v>
      </c>
      <c r="H6" s="692">
        <v>3001357</v>
      </c>
      <c r="I6" s="692">
        <v>3104624</v>
      </c>
      <c r="J6" s="692">
        <v>3691866</v>
      </c>
      <c r="K6" s="692">
        <v>2187493</v>
      </c>
      <c r="L6" s="692">
        <v>2873106</v>
      </c>
      <c r="N6" s="251"/>
      <c r="O6" s="251"/>
      <c r="S6" s="720">
        <v>1057063</v>
      </c>
      <c r="T6" s="719">
        <v>1576530</v>
      </c>
      <c r="U6" s="720">
        <v>559371</v>
      </c>
      <c r="V6" s="251"/>
      <c r="W6" s="251" t="s">
        <v>584</v>
      </c>
      <c r="X6" s="251">
        <v>0.85476228608122895</v>
      </c>
      <c r="Y6" s="251"/>
      <c r="Z6" s="251"/>
      <c r="AA6" s="251"/>
      <c r="AB6" s="251"/>
      <c r="AC6" s="251"/>
      <c r="AD6" s="251"/>
      <c r="AE6" s="251"/>
      <c r="AF6" s="251"/>
      <c r="AH6" s="689"/>
      <c r="AI6" s="689"/>
      <c r="AJ6" s="689"/>
      <c r="AK6" s="689"/>
      <c r="AL6" s="689"/>
      <c r="AM6" s="689"/>
      <c r="AN6" s="689"/>
    </row>
    <row r="7" spans="1:40" ht="16" x14ac:dyDescent="0.2">
      <c r="A7" s="667"/>
      <c r="B7" s="667"/>
      <c r="C7" s="735"/>
      <c r="D7" s="735"/>
      <c r="E7" s="735"/>
      <c r="F7" s="735"/>
      <c r="G7" s="735"/>
      <c r="H7" s="735"/>
      <c r="I7" s="735"/>
      <c r="J7" s="735"/>
      <c r="K7" s="735"/>
      <c r="L7" s="735"/>
      <c r="N7" s="251"/>
      <c r="O7" s="251"/>
      <c r="S7" s="720">
        <v>2645058</v>
      </c>
      <c r="T7" s="719">
        <v>1939751</v>
      </c>
      <c r="U7" s="720">
        <v>1552445</v>
      </c>
      <c r="V7" s="251"/>
      <c r="W7" s="251" t="s">
        <v>585</v>
      </c>
      <c r="X7" s="251">
        <v>240889.7701411602</v>
      </c>
      <c r="Y7" s="251"/>
      <c r="Z7" s="251"/>
      <c r="AA7" s="251"/>
      <c r="AB7" s="251"/>
      <c r="AC7" s="251"/>
      <c r="AD7" s="251"/>
      <c r="AE7" s="251"/>
      <c r="AF7" s="251"/>
      <c r="AH7" s="689" t="s">
        <v>586</v>
      </c>
      <c r="AI7" s="689">
        <f>+AI4*$X$19+AI5*$X$20</f>
        <v>1523637.8835299471</v>
      </c>
      <c r="AJ7" s="689">
        <f t="shared" ref="AJ7:AN7" si="0">+AJ4*$X$19+AJ5*$X$20</f>
        <v>1648660.8036240144</v>
      </c>
      <c r="AK7" s="689">
        <f t="shared" si="0"/>
        <v>1600223.5301577898</v>
      </c>
      <c r="AL7" s="689">
        <f t="shared" si="0"/>
        <v>1643035.7897690306</v>
      </c>
      <c r="AM7" s="689">
        <f t="shared" si="0"/>
        <v>1631374.3003467848</v>
      </c>
      <c r="AN7" s="689">
        <f t="shared" si="0"/>
        <v>1647832.2025416975</v>
      </c>
    </row>
    <row r="8" spans="1:40" ht="17" thickBot="1" x14ac:dyDescent="0.25">
      <c r="A8" s="667" t="s">
        <v>587</v>
      </c>
      <c r="B8" s="662">
        <f t="shared" ref="B8:L8" si="1">+B5/B2</f>
        <v>0</v>
      </c>
      <c r="C8" s="662">
        <f t="shared" si="1"/>
        <v>9.0154503377333304E-3</v>
      </c>
      <c r="D8" s="662">
        <f t="shared" si="1"/>
        <v>7.0123039640802827E-3</v>
      </c>
      <c r="E8" s="662">
        <f t="shared" si="1"/>
        <v>3.4238614921867007E-2</v>
      </c>
      <c r="F8" s="662">
        <f t="shared" si="1"/>
        <v>3.235554502917385E-2</v>
      </c>
      <c r="G8" s="662">
        <f t="shared" si="1"/>
        <v>2.7137438335444103E-2</v>
      </c>
      <c r="H8" s="662">
        <f t="shared" si="1"/>
        <v>1.8636226809490449E-2</v>
      </c>
      <c r="I8" s="662">
        <f t="shared" si="1"/>
        <v>7.402720040491502E-2</v>
      </c>
      <c r="J8" s="662">
        <f t="shared" si="1"/>
        <v>5.552083036065554E-2</v>
      </c>
      <c r="K8" s="662">
        <f t="shared" si="1"/>
        <v>2.7311043587269979E-2</v>
      </c>
      <c r="L8" s="662">
        <f t="shared" si="1"/>
        <v>0.15320098622684108</v>
      </c>
      <c r="M8" s="737" t="s">
        <v>143</v>
      </c>
      <c r="N8" s="738">
        <f>+AVERAGE(E8:L8)</f>
        <v>5.2803485709457129E-2</v>
      </c>
      <c r="O8" s="251"/>
      <c r="S8" s="720">
        <v>2988646</v>
      </c>
      <c r="T8" s="719">
        <v>1862980</v>
      </c>
      <c r="U8" s="720">
        <v>1804471</v>
      </c>
      <c r="V8" s="251"/>
      <c r="W8" s="703" t="s">
        <v>588</v>
      </c>
      <c r="X8" s="703">
        <v>11</v>
      </c>
      <c r="Y8" s="251"/>
      <c r="Z8" s="251"/>
      <c r="AA8" s="251"/>
      <c r="AB8" s="251"/>
      <c r="AC8" s="251"/>
      <c r="AD8" s="251"/>
      <c r="AE8" s="251"/>
      <c r="AF8" s="251"/>
      <c r="AH8" s="689"/>
      <c r="AI8" s="689"/>
      <c r="AJ8" s="689"/>
      <c r="AK8" s="689"/>
      <c r="AL8" s="689"/>
      <c r="AM8" s="689"/>
      <c r="AN8" s="689"/>
    </row>
    <row r="9" spans="1:40" ht="17" thickBot="1" x14ac:dyDescent="0.25">
      <c r="A9" s="667" t="s">
        <v>589</v>
      </c>
      <c r="B9" s="662">
        <f t="shared" ref="B9:L9" si="2">+B4/B2</f>
        <v>0.26367840634985568</v>
      </c>
      <c r="C9" s="662">
        <f t="shared" si="2"/>
        <v>0.23107384458312336</v>
      </c>
      <c r="D9" s="662">
        <f t="shared" si="2"/>
        <v>0.26317081763444333</v>
      </c>
      <c r="E9" s="662">
        <f t="shared" si="2"/>
        <v>0.26162370731288132</v>
      </c>
      <c r="F9" s="662">
        <f t="shared" si="2"/>
        <v>0.29645897433885326</v>
      </c>
      <c r="G9" s="662">
        <f t="shared" si="2"/>
        <v>0.35229873959473962</v>
      </c>
      <c r="H9" s="662">
        <f t="shared" si="2"/>
        <v>0.33469417834670695</v>
      </c>
      <c r="I9" s="662">
        <f t="shared" si="2"/>
        <v>0.28245784699668891</v>
      </c>
      <c r="J9" s="662">
        <f t="shared" si="2"/>
        <v>0.31541194957065188</v>
      </c>
      <c r="K9" s="662">
        <f t="shared" si="2"/>
        <v>0.77875939558710494</v>
      </c>
      <c r="L9" s="662">
        <f t="shared" si="2"/>
        <v>0.70639771534926488</v>
      </c>
      <c r="M9" s="707" t="s">
        <v>143</v>
      </c>
      <c r="N9" s="708">
        <f>+AVERAGE(B9:J9)</f>
        <v>0.28898538496977161</v>
      </c>
      <c r="O9" s="251"/>
      <c r="S9" s="720">
        <v>3071087</v>
      </c>
      <c r="T9" s="719">
        <v>1713379</v>
      </c>
      <c r="U9" s="720">
        <v>1480342</v>
      </c>
      <c r="V9" s="251"/>
      <c r="W9" s="251"/>
      <c r="X9" s="251"/>
      <c r="Y9" s="251"/>
      <c r="Z9" s="251"/>
      <c r="AA9" s="251"/>
      <c r="AB9" s="251"/>
      <c r="AC9" s="251"/>
      <c r="AD9" s="251"/>
      <c r="AE9" s="251"/>
      <c r="AF9" s="251"/>
      <c r="AH9" s="1228" t="s">
        <v>590</v>
      </c>
      <c r="AI9" s="1228"/>
      <c r="AJ9" s="1228"/>
      <c r="AK9" s="1228"/>
      <c r="AL9" s="1228"/>
      <c r="AM9" s="1228"/>
      <c r="AN9" s="1228"/>
    </row>
    <row r="10" spans="1:40" ht="18" thickTop="1" thickBot="1" x14ac:dyDescent="0.25">
      <c r="N10" s="477"/>
      <c r="O10" s="251"/>
      <c r="S10" s="720">
        <v>2765532</v>
      </c>
      <c r="T10" s="719">
        <v>1329431</v>
      </c>
      <c r="U10" s="720">
        <v>867761</v>
      </c>
      <c r="V10" s="251"/>
      <c r="W10" s="251" t="s">
        <v>591</v>
      </c>
      <c r="X10" s="251"/>
      <c r="Y10" s="251"/>
      <c r="Z10" s="251"/>
      <c r="AA10" s="251"/>
      <c r="AB10" s="251"/>
      <c r="AC10" s="251"/>
      <c r="AD10" s="251"/>
      <c r="AE10" s="251"/>
      <c r="AF10" s="251"/>
      <c r="AH10" s="718" t="s">
        <v>320</v>
      </c>
      <c r="AI10" s="718">
        <f>+'Pro_Forma IS'!H7</f>
        <v>9612274.4386785552</v>
      </c>
      <c r="AJ10" s="718">
        <f>+'Pro_Forma IS'!I7</f>
        <v>11304095.463798983</v>
      </c>
      <c r="AK10" s="718">
        <f>+'Pro_Forma IS'!J7</f>
        <v>12023710.91370046</v>
      </c>
      <c r="AL10" s="718">
        <f>+'Pro_Forma IS'!K7</f>
        <v>12434026.5618679</v>
      </c>
      <c r="AM10" s="718">
        <f>+'Pro_Forma IS'!L7</f>
        <v>12826250.596193792</v>
      </c>
      <c r="AN10" s="718">
        <f>+'Pro_Forma IS'!M7</f>
        <v>13475695.021472538</v>
      </c>
    </row>
    <row r="11" spans="1:40" ht="16" x14ac:dyDescent="0.2">
      <c r="A11" s="667" t="s">
        <v>592</v>
      </c>
      <c r="B11" s="697" t="e">
        <f>+NA()</f>
        <v>#N/A</v>
      </c>
      <c r="C11" s="682">
        <f>365*(C4/C2)</f>
        <v>84.34195327284003</v>
      </c>
      <c r="D11" s="682">
        <f t="shared" ref="D11:L11" si="3">365*(D4/D2)</f>
        <v>96.057348436571814</v>
      </c>
      <c r="E11" s="682">
        <f t="shared" si="3"/>
        <v>95.492653169201674</v>
      </c>
      <c r="F11" s="682">
        <f t="shared" si="3"/>
        <v>108.20752563368144</v>
      </c>
      <c r="G11" s="682">
        <f t="shared" si="3"/>
        <v>128.58903995207996</v>
      </c>
      <c r="H11" s="682">
        <f t="shared" si="3"/>
        <v>122.16337509654804</v>
      </c>
      <c r="I11" s="682">
        <f t="shared" si="3"/>
        <v>103.09711415379145</v>
      </c>
      <c r="J11" s="682">
        <f t="shared" si="3"/>
        <v>115.12536159328793</v>
      </c>
      <c r="K11" s="682">
        <f t="shared" si="3"/>
        <v>284.24717938929331</v>
      </c>
      <c r="L11" s="682">
        <f t="shared" si="3"/>
        <v>257.83516610248171</v>
      </c>
      <c r="N11" s="477"/>
      <c r="O11" s="251"/>
      <c r="S11" s="720">
        <v>2989090</v>
      </c>
      <c r="T11" s="719">
        <v>1110625</v>
      </c>
      <c r="U11" s="720">
        <v>1193197</v>
      </c>
      <c r="V11" s="699"/>
      <c r="W11" s="702"/>
      <c r="X11" s="702" t="s">
        <v>593</v>
      </c>
      <c r="Y11" s="702" t="s">
        <v>594</v>
      </c>
      <c r="Z11" s="702" t="s">
        <v>595</v>
      </c>
      <c r="AA11" s="702" t="s">
        <v>596</v>
      </c>
      <c r="AB11" s="702" t="s">
        <v>597</v>
      </c>
      <c r="AC11" s="251"/>
      <c r="AD11" s="251"/>
      <c r="AE11" s="251"/>
      <c r="AF11" s="251"/>
      <c r="AH11" s="718"/>
      <c r="AI11" s="718"/>
      <c r="AJ11" s="718"/>
      <c r="AK11" s="718"/>
      <c r="AL11" s="718"/>
      <c r="AM11" s="718"/>
      <c r="AN11" s="718"/>
    </row>
    <row r="12" spans="1:40" ht="16" x14ac:dyDescent="0.2">
      <c r="A12" s="667" t="s">
        <v>598</v>
      </c>
      <c r="B12" s="682">
        <f>365*(B4/C2)</f>
        <v>35.021224971353298</v>
      </c>
      <c r="C12" s="682">
        <f t="shared" ref="C12:L12" si="4">365*(C4/D2)</f>
        <v>84.002032896453898</v>
      </c>
      <c r="D12" s="682">
        <f t="shared" si="4"/>
        <v>102.3633281959499</v>
      </c>
      <c r="E12" s="682">
        <f t="shared" si="4"/>
        <v>117.85410553854928</v>
      </c>
      <c r="F12" s="682">
        <f t="shared" si="4"/>
        <v>115.5273770937204</v>
      </c>
      <c r="G12" s="682">
        <f t="shared" si="4"/>
        <v>119.25251960774042</v>
      </c>
      <c r="H12" s="682">
        <f t="shared" si="4"/>
        <v>119.1543701748125</v>
      </c>
      <c r="I12" s="682">
        <f t="shared" si="4"/>
        <v>99.701145805584474</v>
      </c>
      <c r="J12" s="682">
        <f t="shared" si="4"/>
        <v>382.04223896315608</v>
      </c>
      <c r="K12" s="682">
        <f t="shared" si="4"/>
        <v>230.78838221645643</v>
      </c>
      <c r="L12" s="682">
        <f t="shared" si="4"/>
        <v>111.05715801411267</v>
      </c>
      <c r="N12" s="477"/>
      <c r="O12" s="251"/>
      <c r="S12" s="720">
        <v>3001357</v>
      </c>
      <c r="T12" s="719">
        <v>1119430</v>
      </c>
      <c r="U12" s="720">
        <v>1308850</v>
      </c>
      <c r="V12" s="251"/>
      <c r="W12" s="251" t="s">
        <v>599</v>
      </c>
      <c r="X12" s="251">
        <v>2</v>
      </c>
      <c r="Y12" s="251">
        <v>16481457783143.051</v>
      </c>
      <c r="Z12" s="251">
        <v>8240728891571.5254</v>
      </c>
      <c r="AA12" s="251">
        <v>142.01326497924171</v>
      </c>
      <c r="AB12" s="251">
        <v>5.6321046557460017E-7</v>
      </c>
      <c r="AC12" s="251"/>
      <c r="AD12" s="251"/>
      <c r="AE12" s="251"/>
      <c r="AF12" s="251"/>
      <c r="AH12" s="718" t="s">
        <v>600</v>
      </c>
      <c r="AI12" s="722">
        <f>+AI10/365*$N$25</f>
        <v>1174004.0810327921</v>
      </c>
      <c r="AJ12" s="722">
        <f>+AJ10/365*$N$25</f>
        <v>1380636.2158661706</v>
      </c>
      <c r="AK12" s="722">
        <f t="shared" ref="AK12:AN12" si="5">+AK10/365*$N$25</f>
        <v>1468527.1183105586</v>
      </c>
      <c r="AL12" s="722">
        <f t="shared" si="5"/>
        <v>1518641.4017232172</v>
      </c>
      <c r="AM12" s="722">
        <f t="shared" si="5"/>
        <v>1566546.0490483977</v>
      </c>
      <c r="AN12" s="722">
        <f t="shared" si="5"/>
        <v>1645866.5481191734</v>
      </c>
    </row>
    <row r="13" spans="1:40" ht="16" x14ac:dyDescent="0.2">
      <c r="A13" s="667"/>
      <c r="B13" s="682"/>
      <c r="C13" s="682"/>
      <c r="D13" s="682"/>
      <c r="E13" s="682"/>
      <c r="F13" s="682"/>
      <c r="G13" s="682"/>
      <c r="H13" s="682"/>
      <c r="I13" s="682"/>
      <c r="J13" s="682"/>
      <c r="K13" s="682"/>
      <c r="L13" s="682"/>
      <c r="N13" s="477"/>
      <c r="O13" s="251"/>
      <c r="S13" s="720">
        <v>3104624</v>
      </c>
      <c r="T13" s="719">
        <v>1186468</v>
      </c>
      <c r="U13" s="720">
        <v>1265954</v>
      </c>
      <c r="V13" s="251"/>
      <c r="W13" s="251" t="s">
        <v>601</v>
      </c>
      <c r="X13" s="251">
        <v>9</v>
      </c>
      <c r="Y13" s="251">
        <v>522250932227.94904</v>
      </c>
      <c r="Z13" s="251">
        <v>58027881358.661003</v>
      </c>
      <c r="AA13" s="251"/>
      <c r="AB13" s="251"/>
      <c r="AC13" s="251"/>
      <c r="AD13" s="251"/>
      <c r="AE13" s="251"/>
      <c r="AF13" s="251"/>
      <c r="AH13" s="718" t="s">
        <v>602</v>
      </c>
      <c r="AI13" s="718">
        <f>+AI12*$N$19</f>
        <v>-82831.83998495822</v>
      </c>
      <c r="AJ13" s="718">
        <f>+AJ12*$N$19</f>
        <v>-97410.767098407203</v>
      </c>
      <c r="AK13" s="718">
        <f t="shared" ref="AK13:AN13" si="6">+AK12*$N$19</f>
        <v>-103611.90837638524</v>
      </c>
      <c r="AL13" s="718">
        <f t="shared" si="6"/>
        <v>-107147.72087624164</v>
      </c>
      <c r="AM13" s="718">
        <f t="shared" si="6"/>
        <v>-110527.63253573474</v>
      </c>
      <c r="AN13" s="718">
        <f t="shared" si="6"/>
        <v>-116124.08913474208</v>
      </c>
    </row>
    <row r="14" spans="1:40" ht="17" thickBot="1" x14ac:dyDescent="0.25">
      <c r="A14" s="667" t="s">
        <v>603</v>
      </c>
      <c r="B14" s="667">
        <v>474852</v>
      </c>
      <c r="C14" s="667">
        <v>1369465</v>
      </c>
      <c r="D14" s="667">
        <v>1552489</v>
      </c>
      <c r="E14" s="667">
        <v>1269433</v>
      </c>
      <c r="F14" s="667">
        <v>685733</v>
      </c>
      <c r="G14" s="667">
        <v>1022933</v>
      </c>
      <c r="H14" s="667">
        <v>1175796</v>
      </c>
      <c r="I14" s="667">
        <v>1077561</v>
      </c>
      <c r="J14" s="667">
        <v>1073599</v>
      </c>
      <c r="K14" s="667">
        <v>532106</v>
      </c>
      <c r="L14" s="667">
        <v>785952</v>
      </c>
      <c r="N14" s="477"/>
      <c r="O14" s="251"/>
      <c r="P14" s="251"/>
      <c r="Q14" s="251"/>
      <c r="S14" s="720">
        <v>3691866</v>
      </c>
      <c r="T14" s="719">
        <v>1064434</v>
      </c>
      <c r="U14" s="720">
        <v>1349475</v>
      </c>
      <c r="V14" s="251"/>
      <c r="W14" s="703" t="s">
        <v>275</v>
      </c>
      <c r="X14" s="703">
        <v>11</v>
      </c>
      <c r="Y14" s="703">
        <v>17003708715371</v>
      </c>
      <c r="Z14" s="703"/>
      <c r="AA14" s="703"/>
      <c r="AB14" s="703"/>
      <c r="AC14" s="251"/>
      <c r="AD14" s="251"/>
      <c r="AE14" s="251"/>
      <c r="AF14" s="251"/>
      <c r="AH14" s="718"/>
      <c r="AI14" s="718"/>
      <c r="AJ14" s="718"/>
      <c r="AK14" s="718"/>
      <c r="AL14" s="718"/>
      <c r="AM14" s="718"/>
      <c r="AN14" s="718"/>
    </row>
    <row r="15" spans="1:40" ht="17" thickBot="1" x14ac:dyDescent="0.25">
      <c r="A15" s="667" t="s">
        <v>604</v>
      </c>
      <c r="B15" s="667">
        <v>84519</v>
      </c>
      <c r="C15" s="667">
        <v>182980</v>
      </c>
      <c r="D15" s="667">
        <v>251982</v>
      </c>
      <c r="E15" s="667">
        <v>210909</v>
      </c>
      <c r="F15" s="667">
        <v>182028</v>
      </c>
      <c r="G15" s="667">
        <v>170264</v>
      </c>
      <c r="H15" s="667">
        <v>133054</v>
      </c>
      <c r="I15" s="667">
        <v>188393</v>
      </c>
      <c r="J15" s="667">
        <v>275876</v>
      </c>
      <c r="K15" s="667">
        <v>194454</v>
      </c>
      <c r="L15" s="667">
        <v>209925</v>
      </c>
      <c r="N15" s="477"/>
      <c r="O15" s="251"/>
      <c r="P15" s="251"/>
      <c r="Q15" s="251"/>
      <c r="R15" s="251"/>
      <c r="S15" s="720">
        <v>2187493</v>
      </c>
      <c r="T15" s="719">
        <v>1209893</v>
      </c>
      <c r="U15" s="720">
        <v>726560</v>
      </c>
      <c r="V15" s="251"/>
      <c r="W15" s="251"/>
      <c r="X15" s="251"/>
      <c r="Y15" s="251"/>
      <c r="Z15" s="251"/>
      <c r="AA15" s="251"/>
      <c r="AB15" s="251"/>
      <c r="AC15" s="251"/>
      <c r="AD15" s="251"/>
      <c r="AE15" s="251"/>
      <c r="AF15" s="251"/>
      <c r="AH15" s="723" t="s">
        <v>605</v>
      </c>
      <c r="AI15" s="724">
        <f>+SUM(AI12:AI13)</f>
        <v>1091172.2410478338</v>
      </c>
      <c r="AJ15" s="724">
        <f t="shared" ref="AJ15:AN15" si="7">+SUM(AJ12:AJ13)</f>
        <v>1283225.4487677633</v>
      </c>
      <c r="AK15" s="724">
        <f t="shared" si="7"/>
        <v>1364915.2099341734</v>
      </c>
      <c r="AL15" s="724">
        <f t="shared" si="7"/>
        <v>1411493.6808469757</v>
      </c>
      <c r="AM15" s="724">
        <f t="shared" si="7"/>
        <v>1456018.416512663</v>
      </c>
      <c r="AN15" s="724">
        <f t="shared" si="7"/>
        <v>1529742.4589844313</v>
      </c>
    </row>
    <row r="16" spans="1:40" ht="16" x14ac:dyDescent="0.2">
      <c r="A16" s="740" t="s">
        <v>606</v>
      </c>
      <c r="B16" s="667">
        <f>+SUM(B14:B15)</f>
        <v>559371</v>
      </c>
      <c r="C16" s="667">
        <f t="shared" ref="C16:L16" si="8">+SUM(C14:C15)</f>
        <v>1552445</v>
      </c>
      <c r="D16" s="667">
        <f t="shared" si="8"/>
        <v>1804471</v>
      </c>
      <c r="E16" s="667">
        <f t="shared" si="8"/>
        <v>1480342</v>
      </c>
      <c r="F16" s="667">
        <f t="shared" si="8"/>
        <v>867761</v>
      </c>
      <c r="G16" s="667">
        <f t="shared" si="8"/>
        <v>1193197</v>
      </c>
      <c r="H16" s="667">
        <f t="shared" si="8"/>
        <v>1308850</v>
      </c>
      <c r="I16" s="667">
        <f t="shared" si="8"/>
        <v>1265954</v>
      </c>
      <c r="J16" s="667">
        <f t="shared" si="8"/>
        <v>1349475</v>
      </c>
      <c r="K16" s="667">
        <f t="shared" si="8"/>
        <v>726560</v>
      </c>
      <c r="L16" s="667">
        <f t="shared" si="8"/>
        <v>995877</v>
      </c>
      <c r="N16" s="477"/>
      <c r="O16" s="251"/>
      <c r="P16" s="251"/>
      <c r="Q16" s="251"/>
      <c r="R16" s="251"/>
      <c r="S16" s="720">
        <v>2873106</v>
      </c>
      <c r="T16" s="721">
        <v>1541634.5873578675</v>
      </c>
      <c r="U16" s="720">
        <v>995877</v>
      </c>
      <c r="V16" s="699"/>
      <c r="W16" s="702"/>
      <c r="X16" s="702" t="s">
        <v>607</v>
      </c>
      <c r="Y16" s="702" t="s">
        <v>585</v>
      </c>
      <c r="Z16" s="702" t="s">
        <v>608</v>
      </c>
      <c r="AA16" s="702" t="s">
        <v>609</v>
      </c>
      <c r="AB16" s="702" t="s">
        <v>610</v>
      </c>
      <c r="AC16" s="702" t="s">
        <v>611</v>
      </c>
      <c r="AD16" s="702" t="s">
        <v>612</v>
      </c>
      <c r="AE16" s="702" t="s">
        <v>613</v>
      </c>
      <c r="AF16" s="699"/>
    </row>
    <row r="17" spans="1:39" ht="16" x14ac:dyDescent="0.2">
      <c r="A17" s="667"/>
      <c r="B17" s="667"/>
      <c r="C17" s="667"/>
      <c r="D17" s="667"/>
      <c r="E17" s="667"/>
      <c r="F17" s="667"/>
      <c r="G17" s="667"/>
      <c r="H17" s="667"/>
      <c r="I17" s="667"/>
      <c r="J17" s="667"/>
      <c r="K17" s="667"/>
      <c r="L17" s="667"/>
      <c r="N17" s="477"/>
      <c r="O17" s="251"/>
      <c r="P17" s="251"/>
      <c r="Q17" s="251"/>
      <c r="R17" s="251"/>
      <c r="S17" s="251"/>
      <c r="T17" s="251"/>
      <c r="U17" s="699"/>
      <c r="V17" s="699"/>
      <c r="W17" s="699"/>
      <c r="X17" s="699"/>
      <c r="Y17" s="699"/>
      <c r="Z17" s="699"/>
      <c r="AA17" s="699"/>
      <c r="AB17" s="699"/>
      <c r="AC17" s="699"/>
      <c r="AD17" s="699"/>
      <c r="AE17" s="699"/>
      <c r="AF17" s="699"/>
    </row>
    <row r="18" spans="1:39" ht="16" x14ac:dyDescent="0.2">
      <c r="A18" s="667" t="s">
        <v>614</v>
      </c>
      <c r="B18" s="667">
        <v>-20525</v>
      </c>
      <c r="C18" s="667">
        <v>-75503</v>
      </c>
      <c r="D18" s="667">
        <v>-70602</v>
      </c>
      <c r="E18" s="667">
        <v>-71042</v>
      </c>
      <c r="F18" s="667">
        <v>-60072</v>
      </c>
      <c r="G18" s="667">
        <v>-77054</v>
      </c>
      <c r="H18" s="667">
        <v>-87909</v>
      </c>
      <c r="I18" s="667">
        <v>-97991</v>
      </c>
      <c r="J18" s="667">
        <v>-100402</v>
      </c>
      <c r="K18" s="667">
        <v>-122193</v>
      </c>
      <c r="L18" s="667">
        <v>-81004</v>
      </c>
      <c r="N18" s="709" t="s">
        <v>143</v>
      </c>
      <c r="O18" s="251"/>
      <c r="P18" s="251"/>
      <c r="Q18" s="251"/>
      <c r="R18" s="251"/>
      <c r="S18" s="251"/>
      <c r="T18" s="251"/>
      <c r="U18" s="251"/>
      <c r="V18" s="251"/>
      <c r="W18" s="251" t="s">
        <v>615</v>
      </c>
      <c r="X18" s="251">
        <v>0</v>
      </c>
      <c r="Y18" s="251" t="e">
        <v>#N/A</v>
      </c>
      <c r="Z18" s="251" t="e">
        <v>#N/A</v>
      </c>
      <c r="AA18" s="251" t="e">
        <v>#N/A</v>
      </c>
      <c r="AB18" s="251" t="e">
        <v>#N/A</v>
      </c>
      <c r="AC18" s="251" t="e">
        <v>#N/A</v>
      </c>
      <c r="AD18" s="251" t="e">
        <v>#N/A</v>
      </c>
      <c r="AE18" s="251" t="e">
        <v>#N/A</v>
      </c>
      <c r="AF18" s="251"/>
    </row>
    <row r="19" spans="1:39" ht="16" x14ac:dyDescent="0.2">
      <c r="A19" s="667" t="s">
        <v>616</v>
      </c>
      <c r="B19" s="706">
        <f>+B18/B16</f>
        <v>-3.6692999815864602E-2</v>
      </c>
      <c r="C19" s="706">
        <f>+C18/C16</f>
        <v>-4.8634895278093587E-2</v>
      </c>
      <c r="D19" s="706">
        <f t="shared" ref="D19:L19" si="9">+D18/D16</f>
        <v>-3.9126148328235813E-2</v>
      </c>
      <c r="E19" s="706">
        <f t="shared" si="9"/>
        <v>-4.7990261709794091E-2</v>
      </c>
      <c r="F19" s="711">
        <f t="shared" si="9"/>
        <v>-6.9226434467555012E-2</v>
      </c>
      <c r="G19" s="711">
        <f t="shared" si="9"/>
        <v>-6.4577768800960778E-2</v>
      </c>
      <c r="H19" s="711">
        <f t="shared" si="9"/>
        <v>-6.7165068571646863E-2</v>
      </c>
      <c r="I19" s="711">
        <f t="shared" si="9"/>
        <v>-7.7404866211568515E-2</v>
      </c>
      <c r="J19" s="711">
        <f t="shared" si="9"/>
        <v>-7.4400785490653779E-2</v>
      </c>
      <c r="K19" s="706">
        <f t="shared" si="9"/>
        <v>-0.16818019158775599</v>
      </c>
      <c r="L19" s="706">
        <f t="shared" si="9"/>
        <v>-8.1339362190310655E-2</v>
      </c>
      <c r="N19" s="710">
        <f>+AVERAGE(F19:J19)</f>
        <v>-7.0554984708476987E-2</v>
      </c>
      <c r="O19" s="251"/>
      <c r="P19" s="251"/>
      <c r="Q19" s="251"/>
      <c r="R19" s="251"/>
      <c r="S19" s="251"/>
      <c r="T19" s="251"/>
      <c r="U19" s="251"/>
      <c r="V19" s="251"/>
      <c r="W19" s="251" t="s">
        <v>9</v>
      </c>
      <c r="X19" s="251">
        <v>0.28658731717588753</v>
      </c>
      <c r="Y19" s="251">
        <v>7.5460333559298237E-2</v>
      </c>
      <c r="Z19" s="251">
        <v>3.7978538346995445</v>
      </c>
      <c r="AA19" s="251">
        <v>4.2312886061590576E-3</v>
      </c>
      <c r="AB19" s="251">
        <v>0.11588418310757923</v>
      </c>
      <c r="AC19" s="251">
        <v>0.45729045124419587</v>
      </c>
      <c r="AD19" s="251">
        <v>0.11588418310757923</v>
      </c>
      <c r="AE19" s="251">
        <v>0.45729045124419587</v>
      </c>
      <c r="AF19" s="251"/>
    </row>
    <row r="20" spans="1:39" ht="17" thickBot="1" x14ac:dyDescent="0.25">
      <c r="B20" s="696"/>
      <c r="C20" s="696"/>
      <c r="D20" s="696"/>
      <c r="E20" s="696"/>
      <c r="F20" s="696"/>
      <c r="G20" s="696"/>
      <c r="H20" s="696"/>
      <c r="I20" s="696"/>
      <c r="J20" s="696"/>
      <c r="K20" s="696"/>
      <c r="L20" s="696"/>
      <c r="N20" s="477"/>
      <c r="O20" s="251"/>
      <c r="P20" s="251"/>
      <c r="Q20" s="251"/>
      <c r="R20" s="251"/>
      <c r="S20" s="251"/>
      <c r="T20" s="251"/>
      <c r="U20" s="251"/>
      <c r="V20" s="251"/>
      <c r="W20" s="703" t="s">
        <v>580</v>
      </c>
      <c r="X20" s="703">
        <v>0.29449677020638659</v>
      </c>
      <c r="Y20" s="703">
        <v>0.14699621610004865</v>
      </c>
      <c r="Z20" s="703">
        <v>2.0034309591067707</v>
      </c>
      <c r="AA20" s="703">
        <v>7.6130479911492577E-2</v>
      </c>
      <c r="AB20" s="703">
        <v>-3.8031772948571352E-2</v>
      </c>
      <c r="AC20" s="703">
        <v>0.62702531336134459</v>
      </c>
      <c r="AD20" s="703">
        <v>-3.8031772948571352E-2</v>
      </c>
      <c r="AE20" s="703">
        <v>0.62702531336134459</v>
      </c>
      <c r="AF20" s="251"/>
    </row>
    <row r="21" spans="1:39" ht="14.5" customHeight="1" x14ac:dyDescent="0.2">
      <c r="N21" s="251"/>
      <c r="O21" s="251"/>
      <c r="P21" s="251"/>
      <c r="Q21" s="251"/>
      <c r="R21" s="251"/>
      <c r="S21" s="251"/>
      <c r="T21" s="251"/>
      <c r="U21" s="251"/>
      <c r="V21" s="251"/>
      <c r="W21" s="251"/>
      <c r="X21" s="251"/>
      <c r="Y21" s="251"/>
      <c r="Z21" s="251"/>
      <c r="AA21" s="251"/>
      <c r="AB21" s="251"/>
      <c r="AC21" s="251"/>
      <c r="AD21" s="251"/>
      <c r="AE21" s="251"/>
    </row>
    <row r="22" spans="1:39" s="667" customFormat="1" ht="14" x14ac:dyDescent="0.2">
      <c r="A22" s="667" t="s">
        <v>617</v>
      </c>
      <c r="C22" s="667">
        <v>13222092</v>
      </c>
      <c r="D22" s="667">
        <v>13266102</v>
      </c>
      <c r="E22" s="667">
        <v>12471146</v>
      </c>
      <c r="F22" s="667">
        <v>10125826</v>
      </c>
      <c r="G22" s="667">
        <v>9527087.5728218295</v>
      </c>
      <c r="H22" s="667">
        <v>10163796</v>
      </c>
      <c r="I22" s="667">
        <v>10368214</v>
      </c>
      <c r="J22" s="667">
        <v>10430927</v>
      </c>
      <c r="K22" s="667">
        <v>4334669</v>
      </c>
      <c r="L22" s="667">
        <v>5111346.3210526919</v>
      </c>
      <c r="N22" s="477"/>
      <c r="O22" s="477"/>
      <c r="P22" s="477"/>
      <c r="Q22" s="477"/>
      <c r="R22" s="477"/>
      <c r="S22" s="477"/>
      <c r="T22" s="477"/>
      <c r="U22" s="477"/>
      <c r="V22" s="477"/>
      <c r="W22" s="477"/>
      <c r="X22" s="477"/>
      <c r="Y22" s="477"/>
      <c r="Z22" s="477"/>
      <c r="AA22" s="477"/>
      <c r="AB22" s="477"/>
      <c r="AC22" s="477"/>
      <c r="AD22" s="477"/>
      <c r="AE22" s="477"/>
    </row>
    <row r="23" spans="1:39" s="667" customFormat="1" ht="14" x14ac:dyDescent="0.2">
      <c r="A23" s="667" t="s">
        <v>606</v>
      </c>
      <c r="B23" s="705">
        <v>559371</v>
      </c>
      <c r="C23" s="705">
        <v>1552445</v>
      </c>
      <c r="D23" s="667">
        <v>1804471</v>
      </c>
      <c r="E23" s="667">
        <v>1480342</v>
      </c>
      <c r="F23" s="667">
        <v>867761</v>
      </c>
      <c r="G23" s="667">
        <v>1193197</v>
      </c>
      <c r="H23" s="667">
        <v>1308850</v>
      </c>
      <c r="I23" s="667">
        <v>1265954</v>
      </c>
      <c r="J23" s="667">
        <v>1349475</v>
      </c>
      <c r="K23" s="667">
        <v>726560</v>
      </c>
      <c r="L23" s="667">
        <v>995877</v>
      </c>
      <c r="N23" s="477"/>
      <c r="O23" s="477"/>
      <c r="P23" s="477"/>
      <c r="Q23" s="477"/>
      <c r="R23" s="477"/>
      <c r="S23" s="477"/>
      <c r="T23" s="477"/>
      <c r="U23" s="477"/>
      <c r="V23" s="477"/>
      <c r="W23" s="477"/>
      <c r="X23" s="477"/>
      <c r="Y23" s="477"/>
      <c r="Z23" s="477"/>
      <c r="AA23" s="477"/>
      <c r="AB23" s="477"/>
      <c r="AC23" s="477"/>
      <c r="AD23" s="477"/>
      <c r="AE23" s="477"/>
    </row>
    <row r="24" spans="1:39" ht="16" x14ac:dyDescent="0.2">
      <c r="A24" s="860"/>
      <c r="B24" s="669"/>
      <c r="C24" s="669"/>
      <c r="N24" s="712" t="s">
        <v>143</v>
      </c>
      <c r="O24" s="251"/>
      <c r="P24" s="251"/>
      <c r="Q24" s="251"/>
      <c r="R24" s="251"/>
      <c r="S24" s="251"/>
      <c r="T24" s="251"/>
      <c r="U24" s="251"/>
      <c r="V24" s="251"/>
      <c r="W24" s="251"/>
      <c r="X24" s="251"/>
      <c r="Y24" s="251"/>
      <c r="Z24" s="251"/>
      <c r="AA24" s="251"/>
      <c r="AB24" s="251"/>
      <c r="AC24" s="251"/>
      <c r="AD24" s="251"/>
      <c r="AE24" s="251"/>
    </row>
    <row r="25" spans="1:39" ht="16" x14ac:dyDescent="0.2">
      <c r="A25" s="860" t="s">
        <v>618</v>
      </c>
      <c r="B25" s="669"/>
      <c r="C25" s="669">
        <f>365*AVERAGE(B23:C23)/C22</f>
        <v>29.148671783557397</v>
      </c>
      <c r="D25" s="861">
        <f t="shared" ref="D25:L25" si="10">365*AVERAGE(C23:D23)/D22</f>
        <v>46.180646734059486</v>
      </c>
      <c r="E25" s="861">
        <f t="shared" si="10"/>
        <v>48.069228962598949</v>
      </c>
      <c r="F25" s="861">
        <f>365*AVERAGE(E23:F23)/F22</f>
        <v>42.320379344855425</v>
      </c>
      <c r="G25" s="861">
        <f t="shared" si="10"/>
        <v>39.479519016176688</v>
      </c>
      <c r="H25" s="861">
        <f t="shared" si="10"/>
        <v>44.926479978543448</v>
      </c>
      <c r="I25" s="861">
        <f t="shared" si="10"/>
        <v>45.321376468502677</v>
      </c>
      <c r="J25" s="861">
        <f t="shared" si="10"/>
        <v>45.75967145585431</v>
      </c>
      <c r="K25" s="862">
        <f t="shared" si="10"/>
        <v>87.406071259420273</v>
      </c>
      <c r="L25" s="862">
        <f t="shared" si="10"/>
        <v>61.499404023020702</v>
      </c>
      <c r="N25" s="713">
        <f>AVERAGE(D25:J25)</f>
        <v>44.579614565798707</v>
      </c>
      <c r="O25" s="251"/>
      <c r="P25" s="251"/>
      <c r="Q25" s="251"/>
      <c r="R25" s="251"/>
      <c r="S25" s="251"/>
      <c r="T25" s="251"/>
      <c r="U25" s="251"/>
      <c r="V25" s="251"/>
      <c r="W25" s="251"/>
      <c r="X25" s="251"/>
      <c r="Y25" s="251"/>
      <c r="Z25" s="251"/>
      <c r="AA25" s="251"/>
      <c r="AB25" s="251"/>
      <c r="AC25" s="251"/>
      <c r="AD25" s="251"/>
      <c r="AE25" s="251"/>
    </row>
    <row r="26" spans="1:39" ht="16" x14ac:dyDescent="0.2">
      <c r="A26" s="860"/>
      <c r="B26" s="669"/>
      <c r="C26" s="669"/>
      <c r="N26" s="251"/>
      <c r="O26" s="251"/>
      <c r="P26" s="251"/>
      <c r="Q26" s="251"/>
      <c r="R26" s="251"/>
      <c r="S26" s="251"/>
      <c r="T26" s="251"/>
      <c r="U26" s="251"/>
      <c r="V26" s="251"/>
      <c r="W26" s="251"/>
      <c r="X26" s="251"/>
      <c r="Y26" s="251"/>
      <c r="Z26" s="251"/>
      <c r="AA26" s="251"/>
      <c r="AB26" s="251"/>
      <c r="AC26" s="251"/>
      <c r="AD26" s="251"/>
      <c r="AE26" s="251"/>
    </row>
    <row r="27" spans="1:39" ht="16" x14ac:dyDescent="0.2">
      <c r="A27" s="860"/>
      <c r="B27" s="669"/>
      <c r="C27" s="669"/>
      <c r="N27" s="285">
        <f>AVERAGE(D25:J25)</f>
        <v>44.579614565798707</v>
      </c>
      <c r="O27" s="251"/>
      <c r="P27" s="251"/>
      <c r="Q27" s="251"/>
      <c r="R27" s="251"/>
      <c r="S27" s="251"/>
      <c r="T27" s="251"/>
      <c r="U27" s="251"/>
      <c r="V27" s="251"/>
      <c r="W27" s="251"/>
      <c r="X27" s="251"/>
      <c r="Y27" s="251"/>
      <c r="Z27" s="251"/>
      <c r="AA27" s="251"/>
      <c r="AB27" s="251"/>
      <c r="AC27" s="251"/>
      <c r="AD27" s="251"/>
      <c r="AE27" s="251"/>
    </row>
    <row r="28" spans="1:39" ht="16" x14ac:dyDescent="0.2">
      <c r="A28" s="860"/>
      <c r="B28" s="669"/>
      <c r="C28" s="669"/>
      <c r="N28" s="251"/>
      <c r="O28" s="251"/>
      <c r="P28" s="251"/>
      <c r="Q28" s="251"/>
      <c r="R28" s="251"/>
      <c r="S28" s="251"/>
      <c r="T28" s="251"/>
      <c r="U28" s="251"/>
      <c r="V28" s="251"/>
      <c r="W28" s="251"/>
      <c r="X28" s="251"/>
      <c r="Y28" s="251"/>
      <c r="Z28" s="251"/>
      <c r="AA28" s="251"/>
      <c r="AB28" s="251"/>
      <c r="AC28" s="251"/>
      <c r="AD28" s="251"/>
      <c r="AE28" s="251"/>
    </row>
    <row r="29" spans="1:39" s="687" customFormat="1" x14ac:dyDescent="0.2">
      <c r="A29" s="860"/>
      <c r="B29" s="860"/>
      <c r="C29" s="860"/>
      <c r="D29" s="860"/>
      <c r="E29" s="860"/>
      <c r="F29" s="860"/>
      <c r="G29" s="860"/>
      <c r="H29" s="860"/>
      <c r="I29" s="860"/>
      <c r="J29" s="860"/>
      <c r="K29" s="860"/>
      <c r="L29" s="860"/>
      <c r="M29" s="860"/>
      <c r="N29" s="860"/>
      <c r="O29" s="860"/>
      <c r="P29" s="860"/>
      <c r="Q29" s="860"/>
      <c r="R29" s="860"/>
      <c r="S29" s="860"/>
      <c r="T29" s="860"/>
      <c r="U29" s="860"/>
      <c r="V29" s="860"/>
      <c r="W29" s="860"/>
      <c r="X29" s="860"/>
      <c r="Y29" s="860"/>
      <c r="Z29" s="860"/>
      <c r="AA29" s="860"/>
      <c r="AB29" s="860"/>
      <c r="AC29" s="860"/>
      <c r="AD29" s="860"/>
      <c r="AE29" s="860"/>
      <c r="AF29" s="860"/>
      <c r="AG29" s="860"/>
      <c r="AH29" s="860"/>
      <c r="AI29" s="860"/>
      <c r="AJ29" s="860"/>
      <c r="AK29" s="860"/>
      <c r="AL29" s="860"/>
      <c r="AM29" s="860"/>
    </row>
    <row r="30" spans="1:39" s="687" customFormat="1" x14ac:dyDescent="0.2">
      <c r="A30" s="860"/>
      <c r="B30" s="860"/>
      <c r="C30" s="860"/>
      <c r="D30" s="860"/>
      <c r="E30" s="860"/>
      <c r="F30" s="860"/>
      <c r="G30" s="860"/>
      <c r="H30" s="860"/>
      <c r="I30" s="860"/>
      <c r="J30" s="860"/>
      <c r="K30" s="860"/>
      <c r="L30" s="860"/>
      <c r="M30" s="860"/>
      <c r="N30" s="860"/>
      <c r="O30" s="860"/>
      <c r="P30" s="860"/>
      <c r="Q30" s="860"/>
      <c r="R30" s="860"/>
      <c r="S30" s="860"/>
      <c r="T30" s="860"/>
      <c r="U30" s="860"/>
      <c r="V30" s="860"/>
      <c r="W30" s="860"/>
      <c r="X30" s="860"/>
      <c r="Y30" s="860"/>
      <c r="Z30" s="860"/>
      <c r="AA30" s="860"/>
      <c r="AB30" s="860"/>
      <c r="AC30" s="860"/>
      <c r="AD30" s="860"/>
      <c r="AE30" s="860"/>
      <c r="AF30" s="860"/>
      <c r="AG30" s="860"/>
      <c r="AH30" s="860"/>
      <c r="AI30" s="860"/>
      <c r="AJ30" s="860"/>
      <c r="AK30" s="860"/>
      <c r="AL30" s="860"/>
      <c r="AM30" s="860"/>
    </row>
    <row r="31" spans="1:39" s="687" customFormat="1" x14ac:dyDescent="0.2">
      <c r="A31" s="860"/>
      <c r="B31" s="109" t="s">
        <v>619</v>
      </c>
      <c r="C31" s="109" t="s">
        <v>620</v>
      </c>
      <c r="D31" s="109" t="s">
        <v>621</v>
      </c>
      <c r="E31" s="109" t="s">
        <v>622</v>
      </c>
      <c r="F31" s="109" t="s">
        <v>623</v>
      </c>
      <c r="G31" s="109" t="s">
        <v>624</v>
      </c>
      <c r="H31" s="109" t="s">
        <v>625</v>
      </c>
      <c r="I31" s="109" t="s">
        <v>626</v>
      </c>
      <c r="J31" s="109" t="s">
        <v>627</v>
      </c>
      <c r="K31" s="109" t="s">
        <v>628</v>
      </c>
      <c r="L31" s="109" t="s">
        <v>629</v>
      </c>
      <c r="M31" s="109" t="s">
        <v>630</v>
      </c>
      <c r="N31" s="109" t="s">
        <v>631</v>
      </c>
      <c r="O31" s="109" t="s">
        <v>632</v>
      </c>
      <c r="P31" s="109" t="s">
        <v>633</v>
      </c>
      <c r="Q31" s="109" t="s">
        <v>634</v>
      </c>
      <c r="R31" s="109" t="s">
        <v>635</v>
      </c>
      <c r="S31" s="109" t="s">
        <v>636</v>
      </c>
      <c r="T31" s="109" t="s">
        <v>637</v>
      </c>
      <c r="U31" s="109" t="s">
        <v>638</v>
      </c>
      <c r="V31" s="109" t="s">
        <v>639</v>
      </c>
      <c r="W31" s="109" t="s">
        <v>640</v>
      </c>
      <c r="X31" s="109" t="s">
        <v>641</v>
      </c>
      <c r="Y31" s="109" t="s">
        <v>642</v>
      </c>
      <c r="Z31" s="109" t="s">
        <v>643</v>
      </c>
      <c r="AA31" s="109" t="s">
        <v>644</v>
      </c>
      <c r="AB31" s="109" t="s">
        <v>645</v>
      </c>
      <c r="AC31" s="109" t="s">
        <v>646</v>
      </c>
      <c r="AD31" s="109" t="s">
        <v>647</v>
      </c>
      <c r="AE31" s="112" t="s">
        <v>648</v>
      </c>
      <c r="AF31" s="112" t="s">
        <v>649</v>
      </c>
      <c r="AG31" s="112" t="s">
        <v>650</v>
      </c>
      <c r="AH31" s="109" t="s">
        <v>651</v>
      </c>
      <c r="AI31" s="109" t="s">
        <v>652</v>
      </c>
      <c r="AJ31" s="109" t="s">
        <v>653</v>
      </c>
      <c r="AK31" s="109" t="s">
        <v>654</v>
      </c>
      <c r="AL31" s="109" t="s">
        <v>655</v>
      </c>
      <c r="AM31" s="109" t="s">
        <v>656</v>
      </c>
    </row>
    <row r="32" spans="1:39" s="676" customFormat="1" ht="14" x14ac:dyDescent="0.2">
      <c r="A32" s="679" t="s">
        <v>511</v>
      </c>
      <c r="B32" s="134">
        <v>2871378</v>
      </c>
      <c r="C32" s="134">
        <v>2520129</v>
      </c>
      <c r="D32" s="134">
        <v>2833605</v>
      </c>
      <c r="E32" s="134">
        <v>2836446</v>
      </c>
      <c r="F32" s="134">
        <v>2688611</v>
      </c>
      <c r="G32" s="134">
        <v>2527960</v>
      </c>
      <c r="H32" s="134">
        <v>2637086</v>
      </c>
      <c r="I32" s="134">
        <v>2526465</v>
      </c>
      <c r="J32" s="134">
        <v>2343527</v>
      </c>
      <c r="K32" s="134">
        <v>1977161</v>
      </c>
      <c r="L32" s="134">
        <v>2113683</v>
      </c>
      <c r="M32" s="134">
        <v>1976243</v>
      </c>
      <c r="N32" s="134">
        <v>1958289.814400204</v>
      </c>
      <c r="O32" s="134">
        <v>1706714</v>
      </c>
      <c r="P32" s="134">
        <v>2100307</v>
      </c>
      <c r="Q32" s="134">
        <v>2112404</v>
      </c>
      <c r="R32" s="134">
        <v>2106161</v>
      </c>
      <c r="S32" s="134">
        <v>1888311</v>
      </c>
      <c r="T32" s="134">
        <v>2225427</v>
      </c>
      <c r="U32" s="134">
        <v>2274578</v>
      </c>
      <c r="V32" s="134">
        <v>2318015</v>
      </c>
      <c r="W32" s="134">
        <v>1956555</v>
      </c>
      <c r="X32" s="134">
        <v>2107168</v>
      </c>
      <c r="Y32" s="134">
        <v>2327250</v>
      </c>
      <c r="Z32" s="134">
        <v>2167982</v>
      </c>
      <c r="AA32" s="134">
        <v>2019675</v>
      </c>
      <c r="AB32" s="134">
        <v>2340297</v>
      </c>
      <c r="AC32" s="134">
        <v>2477675</v>
      </c>
      <c r="AD32" s="134">
        <v>2013702</v>
      </c>
      <c r="AE32" s="135">
        <v>122947</v>
      </c>
      <c r="AF32" s="135">
        <v>121044</v>
      </c>
      <c r="AG32" s="136">
        <v>456081</v>
      </c>
      <c r="AH32" s="134">
        <v>496978.81978045794</v>
      </c>
      <c r="AI32" s="134">
        <v>455690.99519655143</v>
      </c>
      <c r="AJ32" s="134">
        <v>914582</v>
      </c>
      <c r="AK32" s="134">
        <v>1475128.7571807359</v>
      </c>
      <c r="AL32" s="134">
        <v>1486238.7543948407</v>
      </c>
      <c r="AM32" s="134">
        <v>1713385.1416266887</v>
      </c>
    </row>
    <row r="33" spans="1:42" s="676" customFormat="1" ht="14" x14ac:dyDescent="0.2">
      <c r="A33" s="678"/>
      <c r="B33" s="680"/>
      <c r="C33" s="680"/>
      <c r="D33" s="680"/>
      <c r="E33" s="680"/>
      <c r="F33" s="680"/>
      <c r="G33" s="680"/>
      <c r="H33" s="680"/>
      <c r="I33" s="680"/>
      <c r="J33" s="680"/>
      <c r="K33" s="680"/>
      <c r="L33" s="680"/>
      <c r="M33" s="680"/>
      <c r="N33" s="680"/>
      <c r="O33" s="680"/>
      <c r="P33" s="680"/>
      <c r="Q33" s="680"/>
      <c r="R33" s="680"/>
      <c r="S33" s="680"/>
      <c r="T33" s="680"/>
      <c r="U33" s="680"/>
      <c r="V33" s="680"/>
      <c r="W33" s="680"/>
      <c r="X33" s="680"/>
      <c r="Y33" s="680"/>
      <c r="AM33" s="663"/>
    </row>
    <row r="34" spans="1:42" s="676" customFormat="1" ht="14" x14ac:dyDescent="0.2">
      <c r="A34" s="683" t="s">
        <v>363</v>
      </c>
      <c r="B34" s="682">
        <v>1824015</v>
      </c>
      <c r="C34" s="682">
        <v>2508076</v>
      </c>
      <c r="D34" s="682">
        <v>2614537</v>
      </c>
      <c r="E34" s="682">
        <v>2911079</v>
      </c>
      <c r="F34" s="682">
        <v>2821743</v>
      </c>
      <c r="G34" s="682">
        <v>2814076</v>
      </c>
      <c r="H34" s="682">
        <v>2765753</v>
      </c>
      <c r="I34" s="682">
        <v>2715686</v>
      </c>
      <c r="J34" s="682">
        <v>2333089</v>
      </c>
      <c r="K34" s="682">
        <v>2645526</v>
      </c>
      <c r="L34" s="682">
        <v>2392528</v>
      </c>
      <c r="M34" s="682">
        <v>2493402</v>
      </c>
      <c r="N34" s="684">
        <v>2471361</v>
      </c>
      <c r="O34" s="684">
        <v>2761558</v>
      </c>
      <c r="P34" s="684">
        <v>2604903</v>
      </c>
      <c r="Q34" s="684">
        <v>2775309</v>
      </c>
      <c r="R34" s="684">
        <v>2710423</v>
      </c>
      <c r="S34" s="684">
        <v>2808683</v>
      </c>
      <c r="T34" s="684">
        <v>2808635</v>
      </c>
      <c r="U34" s="684">
        <v>2843052</v>
      </c>
      <c r="V34" s="684">
        <v>2962388</v>
      </c>
      <c r="W34" s="684">
        <v>2702087</v>
      </c>
      <c r="X34" s="684">
        <v>2512410</v>
      </c>
      <c r="Y34" s="684">
        <v>2459922</v>
      </c>
      <c r="Z34" s="676">
        <v>2301413</v>
      </c>
      <c r="AA34" s="676">
        <v>2442420</v>
      </c>
      <c r="AB34" s="676">
        <v>2588873</v>
      </c>
      <c r="AC34" s="676">
        <v>2840483</v>
      </c>
      <c r="AD34" s="676">
        <v>2201185</v>
      </c>
      <c r="AE34" s="676">
        <v>2030135</v>
      </c>
      <c r="AF34" s="676">
        <v>1945080</v>
      </c>
      <c r="AG34" s="676">
        <v>2113377</v>
      </c>
      <c r="AH34" s="676">
        <v>1950686</v>
      </c>
      <c r="AI34" s="676">
        <v>2772037</v>
      </c>
      <c r="AJ34" s="676">
        <v>2948620</v>
      </c>
      <c r="AK34" s="676">
        <v>3022050</v>
      </c>
      <c r="AL34" s="676">
        <v>3191434</v>
      </c>
      <c r="AM34" s="676">
        <v>2822807</v>
      </c>
    </row>
    <row r="35" spans="1:42" s="676" customFormat="1" ht="14" x14ac:dyDescent="0.2">
      <c r="A35" s="683" t="s">
        <v>657</v>
      </c>
      <c r="B35" s="682">
        <v>102029</v>
      </c>
      <c r="C35" s="682">
        <v>86850</v>
      </c>
      <c r="D35" s="682">
        <v>83887</v>
      </c>
      <c r="E35" s="682">
        <v>77567</v>
      </c>
      <c r="F35" s="682">
        <v>77979</v>
      </c>
      <c r="G35" s="682">
        <v>77491</v>
      </c>
      <c r="H35" s="682">
        <v>67448</v>
      </c>
      <c r="I35" s="682">
        <v>355401</v>
      </c>
      <c r="J35" s="682">
        <v>343714</v>
      </c>
      <c r="K35" s="682">
        <v>343348</v>
      </c>
      <c r="L35" s="682">
        <v>331619</v>
      </c>
      <c r="M35" s="682">
        <v>272130</v>
      </c>
      <c r="N35" s="684">
        <v>273017</v>
      </c>
      <c r="O35" s="684">
        <v>274374</v>
      </c>
      <c r="P35" s="684">
        <v>271127</v>
      </c>
      <c r="Q35" s="684">
        <v>213781</v>
      </c>
      <c r="R35" s="684">
        <v>199047</v>
      </c>
      <c r="S35" s="684">
        <v>182570</v>
      </c>
      <c r="T35" s="684">
        <v>167442</v>
      </c>
      <c r="U35" s="684">
        <v>158305</v>
      </c>
      <c r="V35" s="684">
        <v>141889</v>
      </c>
      <c r="W35" s="684">
        <v>120523</v>
      </c>
      <c r="X35" s="684">
        <v>103333</v>
      </c>
      <c r="Y35" s="676">
        <v>644702</v>
      </c>
      <c r="Z35" s="676">
        <v>628236</v>
      </c>
      <c r="AA35" s="676">
        <v>792518</v>
      </c>
      <c r="AB35" s="676">
        <v>738450</v>
      </c>
      <c r="AC35" s="676">
        <v>851383</v>
      </c>
      <c r="AD35" s="676">
        <v>798266</v>
      </c>
      <c r="AE35" s="676">
        <v>86515</v>
      </c>
      <c r="AF35" s="676">
        <v>73599</v>
      </c>
      <c r="AG35" s="676">
        <v>74116</v>
      </c>
      <c r="AH35" s="676">
        <v>654749</v>
      </c>
      <c r="AI35" s="676">
        <v>601914</v>
      </c>
      <c r="AJ35" s="676">
        <v>561661</v>
      </c>
      <c r="AK35" s="676">
        <v>512056</v>
      </c>
      <c r="AL35" s="676">
        <v>474328</v>
      </c>
      <c r="AM35" s="676">
        <v>505428</v>
      </c>
    </row>
    <row r="36" spans="1:42" x14ac:dyDescent="0.2">
      <c r="Z36" s="664"/>
      <c r="AA36" s="664"/>
    </row>
    <row r="37" spans="1:42" x14ac:dyDescent="0.2">
      <c r="A37" s="677" t="s">
        <v>658</v>
      </c>
      <c r="B37" s="682">
        <f>365/4*((B34+B35)/B32)</f>
        <v>61.208073266564</v>
      </c>
      <c r="C37" s="682">
        <f t="shared" ref="C37:AM37" si="11">365/4*((C34+C35)/C32)</f>
        <v>93.958284476707334</v>
      </c>
      <c r="D37" s="682">
        <f t="shared" si="11"/>
        <v>86.896794013279901</v>
      </c>
      <c r="E37" s="682">
        <f t="shared" si="11"/>
        <v>96.146356214784277</v>
      </c>
      <c r="F37" s="682">
        <f t="shared" si="11"/>
        <v>98.414992908977908</v>
      </c>
      <c r="G37" s="682">
        <f t="shared" si="11"/>
        <v>104.37486698761056</v>
      </c>
      <c r="H37" s="682">
        <f t="shared" si="11"/>
        <v>98.036086517466629</v>
      </c>
      <c r="I37" s="682">
        <f t="shared" si="11"/>
        <v>110.92047138986686</v>
      </c>
      <c r="J37" s="682">
        <f t="shared" si="11"/>
        <v>104.22678029738937</v>
      </c>
      <c r="K37" s="682">
        <f t="shared" si="11"/>
        <v>137.94261190666819</v>
      </c>
      <c r="L37" s="682">
        <f t="shared" si="11"/>
        <v>117.60439656750799</v>
      </c>
      <c r="M37" s="682">
        <f t="shared" si="11"/>
        <v>127.69421321163441</v>
      </c>
      <c r="N37" s="682">
        <f t="shared" si="11"/>
        <v>127.87917838233838</v>
      </c>
      <c r="O37" s="682">
        <f t="shared" si="11"/>
        <v>162.31705780816233</v>
      </c>
      <c r="P37" s="682">
        <f t="shared" si="11"/>
        <v>124.95208438575885</v>
      </c>
      <c r="Q37" s="682">
        <f t="shared" si="11"/>
        <v>129.12040618177204</v>
      </c>
      <c r="R37" s="682">
        <f t="shared" si="11"/>
        <v>126.05358161128234</v>
      </c>
      <c r="S37" s="682">
        <f t="shared" si="11"/>
        <v>144.5481365357719</v>
      </c>
      <c r="T37" s="682">
        <f t="shared" si="11"/>
        <v>122.02917743426318</v>
      </c>
      <c r="U37" s="682">
        <f t="shared" si="11"/>
        <v>120.40643418251649</v>
      </c>
      <c r="V37" s="682">
        <f t="shared" si="11"/>
        <v>122.20165799185942</v>
      </c>
      <c r="W37" s="682">
        <f t="shared" si="11"/>
        <v>131.64115626701013</v>
      </c>
      <c r="X37" s="682">
        <f t="shared" si="11"/>
        <v>113.27362068425488</v>
      </c>
      <c r="Y37" s="682">
        <f t="shared" si="11"/>
        <v>121.73034267912773</v>
      </c>
      <c r="Z37" s="682">
        <f t="shared" si="11"/>
        <v>123.30843671672551</v>
      </c>
      <c r="AA37" s="682">
        <f t="shared" si="11"/>
        <v>146.15623429512175</v>
      </c>
      <c r="AB37" s="682">
        <f t="shared" si="11"/>
        <v>129.73491131681149</v>
      </c>
      <c r="AC37" s="682">
        <f t="shared" si="11"/>
        <v>135.96729696186949</v>
      </c>
      <c r="AD37" s="682">
        <f t="shared" si="11"/>
        <v>135.91877236552381</v>
      </c>
      <c r="AE37" s="682">
        <f>365/4*((AE34+AE35)/AE32)</f>
        <v>1570.9558793626522</v>
      </c>
      <c r="AF37" s="682">
        <f t="shared" si="11"/>
        <v>1521.7975178447505</v>
      </c>
      <c r="AG37" s="682">
        <f t="shared" si="11"/>
        <v>437.66071432486774</v>
      </c>
      <c r="AH37" s="682">
        <f t="shared" si="11"/>
        <v>478.38244667051418</v>
      </c>
      <c r="AI37" s="682">
        <f t="shared" si="11"/>
        <v>675.61797796159283</v>
      </c>
      <c r="AJ37" s="682">
        <f t="shared" si="11"/>
        <v>350.22900215617625</v>
      </c>
      <c r="AK37" s="682">
        <f t="shared" si="11"/>
        <v>218.61628751400457</v>
      </c>
      <c r="AL37" s="682">
        <f t="shared" si="11"/>
        <v>225.06530765051969</v>
      </c>
      <c r="AM37" s="682">
        <f t="shared" si="11"/>
        <v>177.25229218555361</v>
      </c>
      <c r="AN37" s="682"/>
      <c r="AO37" s="682"/>
      <c r="AP37" s="682"/>
    </row>
    <row r="38" spans="1:42" x14ac:dyDescent="0.2">
      <c r="F38" s="688"/>
    </row>
    <row r="39" spans="1:42" x14ac:dyDescent="0.2">
      <c r="A39" s="741" t="s">
        <v>659</v>
      </c>
      <c r="B39" s="736">
        <f>B37</f>
        <v>61.208073266564</v>
      </c>
      <c r="C39" s="685" t="s">
        <v>660</v>
      </c>
      <c r="D39" s="686">
        <f>+B39/365</f>
        <v>0.16769335141524383</v>
      </c>
      <c r="H39" s="671">
        <v>125</v>
      </c>
    </row>
    <row r="44" spans="1:42" x14ac:dyDescent="0.2">
      <c r="A44" s="743" t="s">
        <v>661</v>
      </c>
      <c r="C44" s="714">
        <v>2012</v>
      </c>
      <c r="D44" s="714">
        <v>2013</v>
      </c>
      <c r="E44" s="714">
        <v>2014</v>
      </c>
      <c r="F44" s="714">
        <v>2015</v>
      </c>
      <c r="G44" s="714">
        <v>2016</v>
      </c>
      <c r="H44" s="714">
        <v>2017</v>
      </c>
      <c r="I44" s="714">
        <v>2018</v>
      </c>
      <c r="J44" s="714">
        <v>2019</v>
      </c>
      <c r="K44" s="714">
        <v>2020</v>
      </c>
      <c r="L44" s="714">
        <v>2021</v>
      </c>
    </row>
    <row r="45" spans="1:42" x14ac:dyDescent="0.2">
      <c r="A45" s="671" t="s">
        <v>662</v>
      </c>
      <c r="C45" s="667">
        <v>284404</v>
      </c>
      <c r="D45" s="667">
        <v>335617</v>
      </c>
      <c r="E45" s="667">
        <v>247871</v>
      </c>
      <c r="F45" s="667">
        <v>330016</v>
      </c>
      <c r="G45" s="667">
        <v>212242</v>
      </c>
      <c r="H45" s="667">
        <v>221188</v>
      </c>
      <c r="I45" s="667">
        <v>290476</v>
      </c>
      <c r="J45" s="667">
        <v>313449</v>
      </c>
      <c r="K45" s="667">
        <v>155892</v>
      </c>
      <c r="L45" s="667">
        <v>108368</v>
      </c>
    </row>
    <row r="46" spans="1:42" x14ac:dyDescent="0.2">
      <c r="A46" s="671" t="s">
        <v>663</v>
      </c>
      <c r="C46" s="667">
        <v>308000</v>
      </c>
      <c r="D46" s="667">
        <v>272000</v>
      </c>
      <c r="E46" s="667">
        <v>342000</v>
      </c>
      <c r="F46" s="667">
        <v>235000</v>
      </c>
      <c r="G46" s="667">
        <v>237344</v>
      </c>
      <c r="H46" s="667">
        <v>220807</v>
      </c>
      <c r="I46" s="667">
        <v>227541</v>
      </c>
      <c r="J46" s="667">
        <v>204928</v>
      </c>
      <c r="K46" s="667">
        <v>126782</v>
      </c>
      <c r="L46" s="667">
        <v>125432</v>
      </c>
    </row>
    <row r="47" spans="1:42" x14ac:dyDescent="0.2">
      <c r="A47" s="671" t="s">
        <v>664</v>
      </c>
      <c r="C47" s="667">
        <v>13222092</v>
      </c>
      <c r="D47" s="667">
        <v>13266102</v>
      </c>
      <c r="E47" s="667">
        <v>12471146</v>
      </c>
      <c r="F47" s="667">
        <v>10125826</v>
      </c>
      <c r="G47" s="667">
        <v>9527087.5728218295</v>
      </c>
      <c r="H47" s="667">
        <v>10163796</v>
      </c>
      <c r="I47" s="667">
        <v>10368214</v>
      </c>
      <c r="J47" s="667">
        <v>10430927</v>
      </c>
      <c r="K47" s="667">
        <v>4334669</v>
      </c>
      <c r="L47" s="667">
        <v>5111346.32105269</v>
      </c>
    </row>
    <row r="48" spans="1:42" x14ac:dyDescent="0.2">
      <c r="C48" s="667"/>
      <c r="D48" s="667"/>
      <c r="E48" s="667"/>
      <c r="F48" s="667"/>
      <c r="G48" s="667"/>
      <c r="H48" s="667"/>
      <c r="I48" s="667"/>
      <c r="J48" s="667"/>
      <c r="K48" s="667"/>
      <c r="L48" s="667"/>
    </row>
    <row r="49" spans="1:15" x14ac:dyDescent="0.2">
      <c r="A49" s="671" t="s">
        <v>662</v>
      </c>
      <c r="C49" s="790">
        <f t="shared" ref="C49:L49" si="12">+C45/C47</f>
        <v>2.1509758062491169E-2</v>
      </c>
      <c r="D49" s="790">
        <f t="shared" si="12"/>
        <v>2.5298840608944512E-2</v>
      </c>
      <c r="E49" s="790">
        <f t="shared" si="12"/>
        <v>1.9875559150698739E-2</v>
      </c>
      <c r="F49" s="790">
        <f t="shared" si="12"/>
        <v>3.2591514015745483E-2</v>
      </c>
      <c r="G49" s="790">
        <f t="shared" si="12"/>
        <v>2.2277742109295635E-2</v>
      </c>
      <c r="H49" s="790">
        <f t="shared" si="12"/>
        <v>2.176234155034202E-2</v>
      </c>
      <c r="I49" s="790">
        <f t="shared" si="12"/>
        <v>2.8016011243595089E-2</v>
      </c>
      <c r="J49" s="790">
        <f t="shared" si="12"/>
        <v>3.0049965837168641E-2</v>
      </c>
      <c r="K49" s="790">
        <f t="shared" si="12"/>
        <v>3.5963991714246232E-2</v>
      </c>
      <c r="L49" s="790">
        <f t="shared" si="12"/>
        <v>2.1201459105530035E-2</v>
      </c>
      <c r="N49" s="716" t="s">
        <v>143</v>
      </c>
      <c r="O49" s="717">
        <f>+AVERAGE(C49:L49)</f>
        <v>2.5854718339805759E-2</v>
      </c>
    </row>
    <row r="50" spans="1:15" x14ac:dyDescent="0.2">
      <c r="A50" s="671" t="s">
        <v>663</v>
      </c>
      <c r="C50" s="790">
        <f t="shared" ref="C50:L50" si="13">+C46/C47</f>
        <v>2.329434706701481E-2</v>
      </c>
      <c r="D50" s="790">
        <f t="shared" si="13"/>
        <v>2.050338524458805E-2</v>
      </c>
      <c r="E50" s="790">
        <f t="shared" si="13"/>
        <v>2.74233017559092E-2</v>
      </c>
      <c r="F50" s="790">
        <f t="shared" si="13"/>
        <v>2.3207983230207591E-2</v>
      </c>
      <c r="G50" s="790">
        <f t="shared" si="13"/>
        <v>2.4912545222852512E-2</v>
      </c>
      <c r="H50" s="790">
        <f t="shared" si="13"/>
        <v>2.1724855555935989E-2</v>
      </c>
      <c r="I50" s="790">
        <f t="shared" si="13"/>
        <v>2.194601693213508E-2</v>
      </c>
      <c r="J50" s="790">
        <f t="shared" si="13"/>
        <v>1.9646192519610195E-2</v>
      </c>
      <c r="K50" s="790">
        <f t="shared" si="13"/>
        <v>2.9248369367995571E-2</v>
      </c>
      <c r="L50" s="790">
        <f t="shared" si="13"/>
        <v>2.4539914167695659E-2</v>
      </c>
      <c r="N50" s="716" t="s">
        <v>143</v>
      </c>
      <c r="O50" s="717">
        <f>+AVERAGE(C50:L50)</f>
        <v>2.3644691106394465E-2</v>
      </c>
    </row>
    <row r="51" spans="1:15" x14ac:dyDescent="0.2">
      <c r="A51" s="671" t="s">
        <v>275</v>
      </c>
      <c r="C51" s="791">
        <f t="shared" ref="C51:K51" si="14">+SUM(C45:C46)/C47</f>
        <v>4.4804105129505979E-2</v>
      </c>
      <c r="D51" s="791">
        <f t="shared" si="14"/>
        <v>4.5802225853532559E-2</v>
      </c>
      <c r="E51" s="791">
        <f t="shared" si="14"/>
        <v>4.729886090660794E-2</v>
      </c>
      <c r="F51" s="791">
        <f t="shared" si="14"/>
        <v>5.5799497245953074E-2</v>
      </c>
      <c r="G51" s="791">
        <f t="shared" si="14"/>
        <v>4.7190287332148147E-2</v>
      </c>
      <c r="H51" s="791">
        <f t="shared" si="14"/>
        <v>4.3487197106278005E-2</v>
      </c>
      <c r="I51" s="791">
        <f t="shared" si="14"/>
        <v>4.9962028175730172E-2</v>
      </c>
      <c r="J51" s="791">
        <f t="shared" si="14"/>
        <v>4.969615835677884E-2</v>
      </c>
      <c r="K51" s="791">
        <f t="shared" si="14"/>
        <v>6.5212361082241807E-2</v>
      </c>
      <c r="L51" s="791">
        <f>+SUM(L45:L46)/L47</f>
        <v>4.5741373273225694E-2</v>
      </c>
      <c r="N51" s="716" t="s">
        <v>143</v>
      </c>
      <c r="O51" s="717">
        <f>+AVERAGE(C51:L51)</f>
        <v>4.9499409446200224E-2</v>
      </c>
    </row>
    <row r="52" spans="1:15" x14ac:dyDescent="0.2">
      <c r="C52" s="667"/>
      <c r="D52" s="667"/>
      <c r="E52" s="667"/>
      <c r="F52" s="667"/>
      <c r="G52" s="667"/>
      <c r="H52" s="667"/>
      <c r="I52" s="667"/>
      <c r="J52" s="667"/>
      <c r="K52" s="667"/>
      <c r="L52" s="667"/>
    </row>
    <row r="53" spans="1:15" x14ac:dyDescent="0.2">
      <c r="C53" s="667"/>
      <c r="D53" s="667"/>
      <c r="E53" s="667"/>
      <c r="F53" s="667"/>
      <c r="G53" s="667"/>
      <c r="H53" s="667"/>
      <c r="I53" s="667"/>
      <c r="J53" s="667"/>
      <c r="K53" s="667"/>
      <c r="L53" s="667"/>
    </row>
    <row r="54" spans="1:15" x14ac:dyDescent="0.2">
      <c r="C54" s="667"/>
      <c r="D54" s="667"/>
      <c r="E54" s="667"/>
      <c r="F54" s="667"/>
      <c r="G54" s="667"/>
      <c r="H54" s="667"/>
      <c r="I54" s="667"/>
      <c r="J54" s="667"/>
      <c r="K54" s="667"/>
      <c r="L54" s="667"/>
    </row>
    <row r="55" spans="1:15" x14ac:dyDescent="0.2">
      <c r="A55" s="743" t="s">
        <v>665</v>
      </c>
      <c r="B55" s="743"/>
      <c r="C55" s="667"/>
      <c r="D55" s="667"/>
      <c r="E55" s="667"/>
      <c r="F55" s="667"/>
      <c r="G55" s="667"/>
      <c r="H55" s="667"/>
      <c r="I55" s="667"/>
      <c r="J55" s="667"/>
      <c r="K55" s="667"/>
      <c r="L55" s="667"/>
    </row>
    <row r="56" spans="1:15" x14ac:dyDescent="0.2">
      <c r="A56" s="860" t="s">
        <v>361</v>
      </c>
      <c r="B56" s="860"/>
      <c r="C56" s="667">
        <v>1689990</v>
      </c>
      <c r="D56" s="667">
        <v>1557736</v>
      </c>
      <c r="E56" s="667">
        <v>1489396</v>
      </c>
      <c r="F56" s="667">
        <v>1483957</v>
      </c>
      <c r="G56" s="667">
        <v>1593068</v>
      </c>
      <c r="H56" s="667">
        <v>1695202</v>
      </c>
      <c r="I56" s="667">
        <v>1674303</v>
      </c>
      <c r="J56" s="667">
        <v>2222874</v>
      </c>
      <c r="K56" s="667">
        <v>2322125</v>
      </c>
      <c r="L56" s="667">
        <v>4860153</v>
      </c>
    </row>
    <row r="57" spans="1:15" x14ac:dyDescent="0.2">
      <c r="A57" s="860" t="s">
        <v>365</v>
      </c>
      <c r="B57" s="860"/>
      <c r="C57" s="667">
        <v>1085601</v>
      </c>
      <c r="D57" s="667">
        <v>922887</v>
      </c>
      <c r="E57" s="667">
        <v>577454</v>
      </c>
      <c r="F57" s="667">
        <v>417050</v>
      </c>
      <c r="G57" s="667">
        <v>359391</v>
      </c>
      <c r="H57" s="667">
        <v>498832</v>
      </c>
      <c r="I57" s="667">
        <v>529277</v>
      </c>
      <c r="J57" s="667">
        <v>619110</v>
      </c>
      <c r="K57" s="667">
        <v>651600</v>
      </c>
      <c r="L57" s="667">
        <v>472426</v>
      </c>
    </row>
    <row r="58" spans="1:15" x14ac:dyDescent="0.2">
      <c r="A58" s="671" t="s">
        <v>275</v>
      </c>
      <c r="C58" s="667">
        <f t="shared" ref="C58:L58" si="15">+SUM(C56:C57)</f>
        <v>2775591</v>
      </c>
      <c r="D58" s="667">
        <f t="shared" si="15"/>
        <v>2480623</v>
      </c>
      <c r="E58" s="667">
        <f t="shared" si="15"/>
        <v>2066850</v>
      </c>
      <c r="F58" s="667">
        <f t="shared" si="15"/>
        <v>1901007</v>
      </c>
      <c r="G58" s="667">
        <f t="shared" si="15"/>
        <v>1952459</v>
      </c>
      <c r="H58" s="667">
        <f t="shared" si="15"/>
        <v>2194034</v>
      </c>
      <c r="I58" s="667">
        <f t="shared" si="15"/>
        <v>2203580</v>
      </c>
      <c r="J58" s="667">
        <f t="shared" si="15"/>
        <v>2841984</v>
      </c>
      <c r="K58" s="667">
        <f t="shared" si="15"/>
        <v>2973725</v>
      </c>
      <c r="L58" s="667">
        <f t="shared" si="15"/>
        <v>5332579</v>
      </c>
    </row>
    <row r="60" spans="1:15" x14ac:dyDescent="0.2">
      <c r="A60" s="860" t="s">
        <v>13</v>
      </c>
      <c r="C60" s="789">
        <v>-4780289</v>
      </c>
      <c r="D60" s="789">
        <v>-4414249</v>
      </c>
      <c r="E60" s="789">
        <v>-4167030</v>
      </c>
      <c r="F60" s="789">
        <v>-2651066</v>
      </c>
      <c r="G60" s="789">
        <v>-2056643</v>
      </c>
      <c r="H60" s="789">
        <v>-2318815</v>
      </c>
      <c r="I60" s="789">
        <v>-2983028</v>
      </c>
      <c r="J60" s="789">
        <v>-2929008</v>
      </c>
      <c r="K60" s="789">
        <v>-1045343</v>
      </c>
      <c r="L60" s="789">
        <v>-1487776.5480146292</v>
      </c>
    </row>
    <row r="61" spans="1:15" x14ac:dyDescent="0.2">
      <c r="A61" s="860" t="s">
        <v>666</v>
      </c>
      <c r="C61" s="789">
        <v>-417124</v>
      </c>
      <c r="D61" s="789">
        <v>-408671</v>
      </c>
      <c r="E61" s="789">
        <v>-365508</v>
      </c>
      <c r="F61" s="789">
        <v>-302774</v>
      </c>
      <c r="G61" s="789">
        <v>-269296</v>
      </c>
      <c r="H61" s="789">
        <v>-252475</v>
      </c>
      <c r="I61" s="789">
        <v>-222507</v>
      </c>
      <c r="J61" s="789">
        <v>-221884</v>
      </c>
      <c r="K61" s="789">
        <v>-91908</v>
      </c>
      <c r="L61" s="789">
        <v>-89207.963586652564</v>
      </c>
    </row>
    <row r="62" spans="1:15" x14ac:dyDescent="0.2">
      <c r="A62" s="860" t="s">
        <v>16</v>
      </c>
      <c r="C62" s="789">
        <v>-1377053</v>
      </c>
      <c r="D62" s="789">
        <v>-1373061</v>
      </c>
      <c r="E62" s="789">
        <v>-1327238</v>
      </c>
      <c r="F62" s="789">
        <v>-1109825</v>
      </c>
      <c r="G62" s="789">
        <v>-1077406</v>
      </c>
      <c r="H62" s="789">
        <v>-1172129</v>
      </c>
      <c r="I62" s="789">
        <v>-1206881</v>
      </c>
      <c r="J62" s="789">
        <v>-1275859</v>
      </c>
      <c r="K62" s="789">
        <v>-720004</v>
      </c>
      <c r="L62" s="789">
        <v>-755187.95924240898</v>
      </c>
    </row>
    <row r="63" spans="1:15" x14ac:dyDescent="0.2">
      <c r="A63" s="860" t="s">
        <v>18</v>
      </c>
      <c r="C63" s="789">
        <v>-422036</v>
      </c>
      <c r="D63" s="789">
        <v>-441077</v>
      </c>
      <c r="E63" s="789">
        <v>-521384</v>
      </c>
      <c r="F63" s="789">
        <v>-525134</v>
      </c>
      <c r="G63" s="789">
        <v>-568979</v>
      </c>
      <c r="H63" s="789">
        <v>-579552</v>
      </c>
      <c r="I63" s="789">
        <v>0</v>
      </c>
      <c r="J63" s="789">
        <v>0</v>
      </c>
      <c r="K63" s="789">
        <v>0</v>
      </c>
      <c r="L63" s="789">
        <v>-120629</v>
      </c>
    </row>
    <row r="64" spans="1:15" x14ac:dyDescent="0.2">
      <c r="A64" s="860" t="s">
        <v>667</v>
      </c>
      <c r="C64" s="789">
        <v>-1711600</v>
      </c>
      <c r="D64" s="789">
        <v>-1642146</v>
      </c>
      <c r="E64" s="789">
        <v>-1482198</v>
      </c>
      <c r="F64" s="789">
        <v>-1283220</v>
      </c>
      <c r="G64" s="789">
        <v>-1422627.0000051539</v>
      </c>
      <c r="H64" s="789">
        <v>-1381546</v>
      </c>
      <c r="I64" s="789">
        <v>-1229312</v>
      </c>
      <c r="J64" s="789">
        <v>-1291895</v>
      </c>
      <c r="K64" s="789">
        <v>-1221184</v>
      </c>
      <c r="L64" s="789">
        <v>-959425.21952382871</v>
      </c>
    </row>
    <row r="65" spans="1:35" x14ac:dyDescent="0.2">
      <c r="A65" s="860" t="s">
        <v>19</v>
      </c>
      <c r="C65" s="789">
        <v>-424350</v>
      </c>
      <c r="D65" s="789">
        <v>-477086</v>
      </c>
      <c r="E65" s="789">
        <v>-452731</v>
      </c>
      <c r="F65" s="789">
        <v>-437236</v>
      </c>
      <c r="G65" s="789">
        <v>-366153</v>
      </c>
      <c r="H65" s="789">
        <v>-430824</v>
      </c>
      <c r="I65" s="789">
        <v>-366627</v>
      </c>
      <c r="J65" s="789">
        <v>-444612</v>
      </c>
      <c r="K65" s="789">
        <v>-472382</v>
      </c>
      <c r="L65" s="789">
        <v>-533738.54935394623</v>
      </c>
    </row>
    <row r="66" spans="1:35" x14ac:dyDescent="0.2">
      <c r="A66" s="860" t="s">
        <v>17</v>
      </c>
      <c r="C66" s="789">
        <v>-314921</v>
      </c>
      <c r="D66" s="789">
        <v>-331405</v>
      </c>
      <c r="E66" s="789">
        <v>-300325</v>
      </c>
      <c r="F66" s="789">
        <v>-295440</v>
      </c>
      <c r="G66" s="789">
        <v>-286622</v>
      </c>
      <c r="H66" s="789">
        <v>-288662</v>
      </c>
      <c r="I66" s="789">
        <v>-280279</v>
      </c>
      <c r="J66" s="789">
        <v>-261330</v>
      </c>
      <c r="K66" s="789">
        <v>-97689</v>
      </c>
      <c r="L66" s="789">
        <v>-77362.937950207517</v>
      </c>
    </row>
    <row r="67" spans="1:35" x14ac:dyDescent="0.2">
      <c r="T67" s="787">
        <v>2021</v>
      </c>
      <c r="U67" s="787">
        <v>2020</v>
      </c>
      <c r="V67" s="787">
        <v>2019</v>
      </c>
      <c r="W67" s="787">
        <v>2018</v>
      </c>
      <c r="X67" s="787">
        <v>2017</v>
      </c>
    </row>
    <row r="68" spans="1:35" ht="15" customHeight="1" x14ac:dyDescent="0.2">
      <c r="A68" s="1229" t="s">
        <v>668</v>
      </c>
      <c r="B68" s="1229"/>
      <c r="C68" s="1229"/>
      <c r="D68" s="744">
        <f t="shared" ref="D68:L68" si="16">-AVERAGE(C58:D58)/(SUM(D60:D66)/365)</f>
        <v>105.55581530850232</v>
      </c>
      <c r="E68" s="744">
        <f t="shared" si="16"/>
        <v>96.317774714631867</v>
      </c>
      <c r="F68" s="744">
        <f t="shared" si="16"/>
        <v>109.6392645686137</v>
      </c>
      <c r="G68" s="744">
        <f t="shared" si="16"/>
        <v>116.28462417103563</v>
      </c>
      <c r="H68" s="744">
        <f t="shared" si="16"/>
        <v>117.79804157937038</v>
      </c>
      <c r="I68" s="744">
        <f t="shared" si="16"/>
        <v>127.62144449812152</v>
      </c>
      <c r="J68" s="744">
        <f t="shared" si="16"/>
        <v>143.3267674129454</v>
      </c>
      <c r="K68" s="744">
        <f t="shared" si="16"/>
        <v>290.90420267451645</v>
      </c>
      <c r="L68" s="744">
        <f t="shared" si="16"/>
        <v>376.77773551081822</v>
      </c>
      <c r="N68" s="745" t="s">
        <v>143</v>
      </c>
      <c r="O68" s="746">
        <f>+AVERAGE(I68:K68)</f>
        <v>187.28413819519446</v>
      </c>
      <c r="Q68" s="745" t="s">
        <v>143</v>
      </c>
      <c r="R68" s="746">
        <f>+AVERAGE(E68)</f>
        <v>96.317774714631867</v>
      </c>
      <c r="T68" s="863">
        <v>767.63947247820397</v>
      </c>
      <c r="U68" s="863">
        <v>416.95719408044351</v>
      </c>
      <c r="V68" s="863">
        <v>296.75317307948126</v>
      </c>
      <c r="W68" s="863">
        <v>243.31610803955945</v>
      </c>
      <c r="X68" s="863">
        <v>224.18894332640835</v>
      </c>
      <c r="Y68" s="860" t="s">
        <v>669</v>
      </c>
      <c r="AA68" s="860" t="s">
        <v>669</v>
      </c>
      <c r="AB68" s="860" t="s">
        <v>669</v>
      </c>
      <c r="AD68" s="860" t="s">
        <v>669</v>
      </c>
      <c r="AE68" s="860" t="s">
        <v>669</v>
      </c>
      <c r="AG68" s="860" t="s">
        <v>669</v>
      </c>
      <c r="AH68" s="860" t="s">
        <v>669</v>
      </c>
      <c r="AI68" s="860">
        <v>178.47193411754569</v>
      </c>
    </row>
    <row r="69" spans="1:35" x14ac:dyDescent="0.2">
      <c r="T69" s="671" t="s">
        <v>670</v>
      </c>
      <c r="X69" s="863">
        <v>224.18894332640835</v>
      </c>
    </row>
    <row r="70" spans="1:35" x14ac:dyDescent="0.2">
      <c r="D70" s="798"/>
    </row>
    <row r="72" spans="1:35" s="279" customFormat="1" ht="16" x14ac:dyDescent="0.2">
      <c r="B72" s="332" t="s">
        <v>671</v>
      </c>
      <c r="C72" s="333">
        <v>2013</v>
      </c>
      <c r="D72" s="333">
        <v>2014</v>
      </c>
      <c r="E72" s="333">
        <v>2015</v>
      </c>
      <c r="F72" s="333">
        <v>2016</v>
      </c>
      <c r="G72" s="333">
        <v>2017</v>
      </c>
      <c r="H72" s="111">
        <v>2018</v>
      </c>
      <c r="I72" s="111">
        <v>2019</v>
      </c>
      <c r="J72" s="113">
        <v>2020</v>
      </c>
      <c r="K72" s="113">
        <v>2021</v>
      </c>
      <c r="L72" s="334">
        <v>2022</v>
      </c>
      <c r="M72" s="335">
        <v>2023</v>
      </c>
      <c r="N72" s="335">
        <v>2024</v>
      </c>
      <c r="O72" s="334">
        <v>2025</v>
      </c>
      <c r="P72" s="335">
        <v>2026</v>
      </c>
      <c r="Q72" s="335">
        <v>2027</v>
      </c>
    </row>
    <row r="73" spans="1:35" s="279" customFormat="1" ht="16" x14ac:dyDescent="0.2">
      <c r="A73" s="784" t="s">
        <v>672</v>
      </c>
      <c r="B73" s="336">
        <v>4.8142517840595875</v>
      </c>
      <c r="C73" s="336">
        <v>6.2693683494970864</v>
      </c>
      <c r="D73" s="336">
        <v>7.6796502903582393</v>
      </c>
      <c r="E73" s="336">
        <v>7.9960765669882141</v>
      </c>
      <c r="F73" s="336">
        <v>9.1203822087114332</v>
      </c>
      <c r="G73" s="336">
        <v>14.809324224146959</v>
      </c>
      <c r="H73" s="336">
        <v>14.974930159691329</v>
      </c>
      <c r="I73" s="336">
        <v>17.997673624779306</v>
      </c>
      <c r="J73" s="336">
        <v>33.904131027698696</v>
      </c>
      <c r="K73" s="336">
        <v>27.711188865939409</v>
      </c>
      <c r="L73" s="781">
        <f t="shared" ref="L73:Q73" si="17">15.5</f>
        <v>15.5</v>
      </c>
      <c r="M73" s="781">
        <f t="shared" si="17"/>
        <v>15.5</v>
      </c>
      <c r="N73" s="781">
        <f t="shared" si="17"/>
        <v>15.5</v>
      </c>
      <c r="O73" s="781">
        <f t="shared" si="17"/>
        <v>15.5</v>
      </c>
      <c r="P73" s="781">
        <f t="shared" si="17"/>
        <v>15.5</v>
      </c>
      <c r="Q73" s="781">
        <f t="shared" si="17"/>
        <v>15.5</v>
      </c>
    </row>
    <row r="75" spans="1:35" x14ac:dyDescent="0.2">
      <c r="B75" s="689"/>
    </row>
    <row r="76" spans="1:35" x14ac:dyDescent="0.2">
      <c r="B76" s="689"/>
    </row>
    <row r="81" spans="4:9" x14ac:dyDescent="0.2">
      <c r="D81" s="860"/>
      <c r="E81" s="860"/>
      <c r="F81" s="860"/>
      <c r="G81" s="860"/>
      <c r="H81" s="860"/>
      <c r="I81" s="860"/>
    </row>
  </sheetData>
  <sortState xmlns:xlrd2="http://schemas.microsoft.com/office/spreadsheetml/2017/richdata2" ref="T2:V11">
    <sortCondition ref="T2:T11"/>
  </sortState>
  <mergeCells count="2">
    <mergeCell ref="AH9:AN9"/>
    <mergeCell ref="A68:C68"/>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AFE79-EAF3-F54F-9020-2D2FD41A6F4E}">
  <sheetPr>
    <tabColor theme="7" tint="0.79998168889431442"/>
  </sheetPr>
  <dimension ref="A1:BR117"/>
  <sheetViews>
    <sheetView zoomScale="55" zoomScaleNormal="55" workbookViewId="0">
      <selection sqref="A1:K3"/>
    </sheetView>
  </sheetViews>
  <sheetFormatPr baseColWidth="10" defaultColWidth="10.83203125" defaultRowHeight="16" x14ac:dyDescent="0.2"/>
  <cols>
    <col min="1" max="1" width="49" style="531" bestFit="1" customWidth="1"/>
    <col min="2" max="2" width="29.83203125" style="531" customWidth="1"/>
    <col min="3" max="3" width="10.83203125" style="531"/>
    <col min="4" max="4" width="21.83203125" style="531" bestFit="1" customWidth="1"/>
    <col min="5" max="5" width="11.6640625" style="531" customWidth="1"/>
    <col min="6" max="7" width="10.83203125" style="531"/>
    <col min="8" max="8" width="12.5" style="531" bestFit="1" customWidth="1"/>
    <col min="9" max="9" width="9.5" style="531" customWidth="1"/>
    <col min="10" max="15" width="10.83203125" style="531"/>
    <col min="16" max="16" width="12" style="531" bestFit="1" customWidth="1"/>
    <col min="17" max="21" width="10.83203125" style="531"/>
    <col min="22" max="22" width="27.83203125" style="531" bestFit="1" customWidth="1"/>
    <col min="23" max="23" width="29" style="531" customWidth="1"/>
    <col min="24" max="45" width="10.83203125" style="531"/>
    <col min="46" max="46" width="15" style="531" customWidth="1"/>
    <col min="47" max="47" width="20.33203125" style="531" customWidth="1"/>
    <col min="48" max="16384" width="10.83203125" style="531"/>
  </cols>
  <sheetData>
    <row r="1" spans="1:31" x14ac:dyDescent="0.2">
      <c r="A1" s="1219" t="s">
        <v>404</v>
      </c>
      <c r="B1" s="1219"/>
      <c r="C1" s="1219"/>
      <c r="D1" s="1219"/>
      <c r="E1" s="1219"/>
      <c r="F1" s="1219"/>
      <c r="G1" s="1219"/>
      <c r="H1" s="1219"/>
      <c r="I1" s="1219"/>
      <c r="J1" s="1219"/>
      <c r="K1" s="1219"/>
    </row>
    <row r="2" spans="1:31" x14ac:dyDescent="0.2">
      <c r="A2" s="1219"/>
      <c r="B2" s="1219"/>
      <c r="C2" s="1219"/>
      <c r="D2" s="1219"/>
      <c r="E2" s="1219"/>
      <c r="F2" s="1219"/>
      <c r="G2" s="1219"/>
      <c r="H2" s="1219"/>
      <c r="I2" s="1219"/>
      <c r="J2" s="1219"/>
      <c r="K2" s="1219"/>
    </row>
    <row r="3" spans="1:31" s="532" customFormat="1" ht="17" thickBot="1" x14ac:dyDescent="0.25">
      <c r="A3" s="1220"/>
      <c r="B3" s="1220"/>
      <c r="C3" s="1220"/>
      <c r="D3" s="1220"/>
      <c r="E3" s="1220"/>
      <c r="F3" s="1220"/>
      <c r="G3" s="1220"/>
      <c r="H3" s="1220"/>
      <c r="I3" s="1220"/>
      <c r="J3" s="1220"/>
      <c r="K3" s="1220"/>
    </row>
    <row r="4" spans="1:31" ht="18" thickTop="1" thickBot="1" x14ac:dyDescent="0.25"/>
    <row r="5" spans="1:31" ht="31" x14ac:dyDescent="0.35">
      <c r="A5" s="534" t="s">
        <v>405</v>
      </c>
      <c r="D5" s="533"/>
      <c r="E5" s="508">
        <v>2019</v>
      </c>
      <c r="F5" s="508">
        <v>2020</v>
      </c>
      <c r="G5" s="508">
        <v>2021</v>
      </c>
      <c r="H5" s="509" t="s">
        <v>0</v>
      </c>
      <c r="I5" s="509" t="s">
        <v>1</v>
      </c>
      <c r="J5" s="509" t="s">
        <v>2</v>
      </c>
      <c r="K5" s="509" t="s">
        <v>3</v>
      </c>
      <c r="L5" s="509" t="s">
        <v>4</v>
      </c>
      <c r="M5" s="510" t="s">
        <v>5</v>
      </c>
      <c r="P5" s="603" t="s">
        <v>406</v>
      </c>
    </row>
    <row r="6" spans="1:31" x14ac:dyDescent="0.2">
      <c r="A6" s="531" t="s">
        <v>407</v>
      </c>
      <c r="D6" s="511" t="s">
        <v>408</v>
      </c>
      <c r="E6" s="507">
        <v>-601</v>
      </c>
      <c r="F6" s="507">
        <v>0</v>
      </c>
      <c r="G6" s="507">
        <v>0</v>
      </c>
      <c r="H6" s="507">
        <v>0</v>
      </c>
      <c r="I6" s="507">
        <v>0</v>
      </c>
      <c r="J6" s="507">
        <v>0</v>
      </c>
      <c r="K6" s="507">
        <v>0</v>
      </c>
      <c r="L6" s="507">
        <v>0</v>
      </c>
      <c r="M6" s="512">
        <v>0</v>
      </c>
    </row>
    <row r="7" spans="1:31" x14ac:dyDescent="0.2">
      <c r="A7" s="531" t="s">
        <v>409</v>
      </c>
      <c r="D7" s="511" t="s">
        <v>410</v>
      </c>
      <c r="E7" s="507">
        <v>-700</v>
      </c>
      <c r="F7" s="507">
        <v>0</v>
      </c>
      <c r="G7" s="507">
        <v>-537</v>
      </c>
      <c r="H7" s="507">
        <v>-374</v>
      </c>
      <c r="I7" s="507">
        <v>-1098</v>
      </c>
      <c r="J7" s="507">
        <v>-448</v>
      </c>
      <c r="K7" s="507">
        <v>-740</v>
      </c>
      <c r="L7" s="507">
        <v>-750</v>
      </c>
      <c r="M7" s="512">
        <v>-1020</v>
      </c>
    </row>
    <row r="8" spans="1:31" ht="17" thickBot="1" x14ac:dyDescent="0.25">
      <c r="A8" s="531" t="s">
        <v>411</v>
      </c>
      <c r="D8" s="511" t="s">
        <v>412</v>
      </c>
      <c r="E8" s="507">
        <v>-1206</v>
      </c>
      <c r="F8" s="507">
        <v>-426</v>
      </c>
      <c r="G8" s="507">
        <v>-846</v>
      </c>
      <c r="H8" s="507">
        <v>-915</v>
      </c>
      <c r="I8" s="507">
        <v>-1165</v>
      </c>
      <c r="J8" s="507">
        <v>-1301</v>
      </c>
      <c r="K8" s="507">
        <v>-1068</v>
      </c>
      <c r="L8" s="507">
        <v>-1024</v>
      </c>
      <c r="M8" s="512">
        <v>-1068</v>
      </c>
      <c r="V8" s="531" t="s">
        <v>413</v>
      </c>
      <c r="W8" s="531" t="s">
        <v>414</v>
      </c>
    </row>
    <row r="9" spans="1:31" x14ac:dyDescent="0.2">
      <c r="A9" s="531" t="s">
        <v>415</v>
      </c>
      <c r="D9" s="511" t="s">
        <v>416</v>
      </c>
      <c r="E9" s="507">
        <v>309</v>
      </c>
      <c r="F9" s="507">
        <v>26</v>
      </c>
      <c r="G9" s="507">
        <v>124</v>
      </c>
      <c r="H9" s="507">
        <v>89</v>
      </c>
      <c r="I9" s="507">
        <v>50</v>
      </c>
      <c r="J9" s="507">
        <v>8</v>
      </c>
      <c r="K9" s="507">
        <v>-66</v>
      </c>
      <c r="L9" s="507">
        <v>-183</v>
      </c>
      <c r="M9" s="512">
        <v>-374</v>
      </c>
      <c r="W9" s="531" t="s">
        <v>417</v>
      </c>
      <c r="X9" s="531" t="s">
        <v>418</v>
      </c>
      <c r="Z9" s="509" t="s">
        <v>0</v>
      </c>
      <c r="AA9" s="509" t="s">
        <v>1</v>
      </c>
      <c r="AB9" s="509" t="s">
        <v>2</v>
      </c>
      <c r="AC9" s="509" t="s">
        <v>3</v>
      </c>
      <c r="AD9" s="509" t="s">
        <v>4</v>
      </c>
      <c r="AE9" s="510" t="s">
        <v>5</v>
      </c>
    </row>
    <row r="10" spans="1:31" ht="17" thickBot="1" x14ac:dyDescent="0.25">
      <c r="D10" s="513" t="s">
        <v>419</v>
      </c>
      <c r="E10" s="514">
        <f>SUM(E6:E9)</f>
        <v>-2198</v>
      </c>
      <c r="F10" s="514">
        <f t="shared" ref="F10:M10" si="0">SUM(F6:F9)</f>
        <v>-400</v>
      </c>
      <c r="G10" s="514">
        <f t="shared" si="0"/>
        <v>-1259</v>
      </c>
      <c r="H10" s="514">
        <f t="shared" si="0"/>
        <v>-1200</v>
      </c>
      <c r="I10" s="514">
        <f t="shared" si="0"/>
        <v>-2213</v>
      </c>
      <c r="J10" s="514">
        <f t="shared" si="0"/>
        <v>-1741</v>
      </c>
      <c r="K10" s="514">
        <f t="shared" si="0"/>
        <v>-1874</v>
      </c>
      <c r="L10" s="514">
        <f t="shared" si="0"/>
        <v>-1957</v>
      </c>
      <c r="M10" s="515">
        <f t="shared" si="0"/>
        <v>-2462</v>
      </c>
      <c r="V10" s="531" t="s">
        <v>420</v>
      </c>
      <c r="W10" s="531">
        <v>587214</v>
      </c>
      <c r="X10" s="531">
        <v>627742</v>
      </c>
      <c r="Z10" s="592">
        <f>$W$10</f>
        <v>587214</v>
      </c>
      <c r="AA10" s="592">
        <f t="shared" ref="AA10:AE10" si="1">$W$10</f>
        <v>587214</v>
      </c>
      <c r="AB10" s="592">
        <f t="shared" si="1"/>
        <v>587214</v>
      </c>
      <c r="AC10" s="592">
        <f t="shared" si="1"/>
        <v>587214</v>
      </c>
      <c r="AD10" s="592">
        <f t="shared" si="1"/>
        <v>587214</v>
      </c>
      <c r="AE10" s="592">
        <f t="shared" si="1"/>
        <v>587214</v>
      </c>
    </row>
    <row r="11" spans="1:31" x14ac:dyDescent="0.2">
      <c r="A11" s="534" t="s">
        <v>421</v>
      </c>
      <c r="D11" s="531" t="s">
        <v>422</v>
      </c>
      <c r="E11" s="507">
        <f>E7+E6</f>
        <v>-1301</v>
      </c>
      <c r="F11" s="507">
        <f t="shared" ref="F11:M11" si="2">F7+F6</f>
        <v>0</v>
      </c>
      <c r="G11" s="507">
        <f t="shared" si="2"/>
        <v>-537</v>
      </c>
      <c r="H11" s="507">
        <f t="shared" si="2"/>
        <v>-374</v>
      </c>
      <c r="I11" s="507">
        <f t="shared" si="2"/>
        <v>-1098</v>
      </c>
      <c r="J11" s="507">
        <f t="shared" si="2"/>
        <v>-448</v>
      </c>
      <c r="K11" s="507">
        <f t="shared" si="2"/>
        <v>-740</v>
      </c>
      <c r="L11" s="507">
        <f t="shared" si="2"/>
        <v>-750</v>
      </c>
      <c r="M11" s="507">
        <f t="shared" si="2"/>
        <v>-1020</v>
      </c>
      <c r="V11" s="531" t="s">
        <v>423</v>
      </c>
      <c r="W11" s="531">
        <v>190542</v>
      </c>
      <c r="X11" s="531">
        <v>204615</v>
      </c>
      <c r="Z11" s="592">
        <f>$W$11</f>
        <v>190542</v>
      </c>
      <c r="AA11" s="592">
        <f t="shared" ref="AA11:AE11" si="3">$W$11</f>
        <v>190542</v>
      </c>
      <c r="AB11" s="592">
        <f t="shared" si="3"/>
        <v>190542</v>
      </c>
      <c r="AC11" s="592">
        <f t="shared" si="3"/>
        <v>190542</v>
      </c>
      <c r="AD11" s="592">
        <f t="shared" si="3"/>
        <v>190542</v>
      </c>
      <c r="AE11" s="592">
        <f t="shared" si="3"/>
        <v>190542</v>
      </c>
    </row>
    <row r="12" spans="1:31" ht="17" thickBot="1" x14ac:dyDescent="0.25">
      <c r="A12" s="531" t="s">
        <v>424</v>
      </c>
      <c r="V12" s="531" t="s">
        <v>425</v>
      </c>
      <c r="W12" s="531">
        <v>136135</v>
      </c>
      <c r="X12" s="531">
        <v>139113</v>
      </c>
      <c r="Z12" s="592">
        <f>$W$12+$W$13</f>
        <v>241009</v>
      </c>
      <c r="AA12" s="592">
        <f t="shared" ref="AA12:AE12" si="4">$W$12+$W$13</f>
        <v>241009</v>
      </c>
      <c r="AB12" s="592">
        <f t="shared" si="4"/>
        <v>241009</v>
      </c>
      <c r="AC12" s="592">
        <f t="shared" si="4"/>
        <v>241009</v>
      </c>
      <c r="AD12" s="592">
        <f t="shared" si="4"/>
        <v>241009</v>
      </c>
      <c r="AE12" s="592">
        <f t="shared" si="4"/>
        <v>241009</v>
      </c>
    </row>
    <row r="13" spans="1:31" ht="18" customHeight="1" x14ac:dyDescent="0.2">
      <c r="A13" s="531" t="s">
        <v>426</v>
      </c>
      <c r="D13" s="1221" t="s">
        <v>427</v>
      </c>
      <c r="E13" s="1223" t="s">
        <v>428</v>
      </c>
      <c r="F13" s="1225" t="s">
        <v>429</v>
      </c>
      <c r="G13" s="1225" t="s">
        <v>430</v>
      </c>
      <c r="H13" s="1225"/>
      <c r="I13" s="1225"/>
      <c r="J13" s="1225"/>
      <c r="K13" s="1225"/>
      <c r="L13" s="1227"/>
      <c r="V13" s="531" t="s">
        <v>431</v>
      </c>
      <c r="W13" s="531">
        <v>104874</v>
      </c>
      <c r="X13" s="531">
        <v>68521</v>
      </c>
      <c r="Z13" s="592">
        <f>SUM(Z10:Z12)</f>
        <v>1018765</v>
      </c>
      <c r="AA13" s="592">
        <f t="shared" ref="AA13:AE13" si="5">SUM(AA10:AA12)</f>
        <v>1018765</v>
      </c>
      <c r="AB13" s="592">
        <f t="shared" si="5"/>
        <v>1018765</v>
      </c>
      <c r="AC13" s="592">
        <f t="shared" si="5"/>
        <v>1018765</v>
      </c>
      <c r="AD13" s="592">
        <f t="shared" si="5"/>
        <v>1018765</v>
      </c>
      <c r="AE13" s="592">
        <f t="shared" si="5"/>
        <v>1018765</v>
      </c>
    </row>
    <row r="14" spans="1:31" ht="27" customHeight="1" x14ac:dyDescent="0.2">
      <c r="D14" s="1222"/>
      <c r="E14" s="1224"/>
      <c r="F14" s="1226"/>
      <c r="G14" s="544">
        <v>2022</v>
      </c>
      <c r="H14" s="544" t="s">
        <v>432</v>
      </c>
      <c r="I14" s="544" t="s">
        <v>433</v>
      </c>
      <c r="J14" s="544" t="s">
        <v>434</v>
      </c>
      <c r="K14" s="544" t="s">
        <v>435</v>
      </c>
      <c r="L14" s="553" t="s">
        <v>436</v>
      </c>
      <c r="Q14" s="506"/>
      <c r="V14" s="531" t="s">
        <v>437</v>
      </c>
      <c r="W14" s="531" t="s">
        <v>58</v>
      </c>
      <c r="X14" s="531">
        <v>6340</v>
      </c>
    </row>
    <row r="15" spans="1:31" s="534" customFormat="1" x14ac:dyDescent="0.2">
      <c r="A15" s="531" t="s">
        <v>438</v>
      </c>
      <c r="B15" s="531"/>
      <c r="C15" s="531"/>
      <c r="D15" s="554" t="s">
        <v>439</v>
      </c>
      <c r="E15" s="555">
        <f>SUM(E16:E22)</f>
        <v>249</v>
      </c>
      <c r="F15" s="555">
        <f>SUM(F16:F22)</f>
        <v>-15</v>
      </c>
      <c r="G15" s="555">
        <f>SUM(G16:G22)</f>
        <v>234</v>
      </c>
      <c r="H15" s="555">
        <f>SUM(H16)</f>
        <v>244</v>
      </c>
      <c r="I15" s="555">
        <f t="shared" ref="I15:L15" si="6">SUM(I16)</f>
        <v>223</v>
      </c>
      <c r="J15" s="555">
        <f t="shared" si="6"/>
        <v>237</v>
      </c>
      <c r="K15" s="555">
        <f t="shared" si="6"/>
        <v>234</v>
      </c>
      <c r="L15" s="555">
        <f t="shared" si="6"/>
        <v>246</v>
      </c>
      <c r="M15" s="545"/>
      <c r="N15" s="545"/>
      <c r="O15" s="545"/>
      <c r="P15" s="545"/>
      <c r="Q15" s="545"/>
      <c r="V15" s="531" t="s">
        <v>440</v>
      </c>
      <c r="W15" s="531">
        <v>127</v>
      </c>
      <c r="X15" s="531">
        <v>228</v>
      </c>
    </row>
    <row r="16" spans="1:31" x14ac:dyDescent="0.2">
      <c r="D16" s="557" t="s">
        <v>441</v>
      </c>
      <c r="E16" s="558">
        <v>46</v>
      </c>
      <c r="F16" s="558">
        <v>-6</v>
      </c>
      <c r="G16" s="550">
        <v>40</v>
      </c>
      <c r="H16" s="550">
        <v>244</v>
      </c>
      <c r="I16" s="550">
        <v>223</v>
      </c>
      <c r="J16" s="550">
        <v>237</v>
      </c>
      <c r="K16" s="550">
        <v>234</v>
      </c>
      <c r="L16" s="559">
        <v>246</v>
      </c>
      <c r="M16" s="535"/>
      <c r="N16" s="535"/>
      <c r="O16" s="535"/>
      <c r="P16" s="535"/>
      <c r="Q16" s="535"/>
      <c r="V16" s="531" t="s">
        <v>442</v>
      </c>
      <c r="W16" s="534">
        <f>SUM(W10:W15)</f>
        <v>1018892</v>
      </c>
      <c r="X16" s="534">
        <f>SUM(X10:X15)</f>
        <v>1046559</v>
      </c>
    </row>
    <row r="17" spans="1:23" x14ac:dyDescent="0.2">
      <c r="D17" s="557" t="s">
        <v>443</v>
      </c>
      <c r="E17" s="558">
        <v>141</v>
      </c>
      <c r="F17" s="558">
        <v>-13</v>
      </c>
      <c r="G17" s="550">
        <v>128</v>
      </c>
      <c r="H17" s="550"/>
      <c r="I17" s="550"/>
      <c r="J17" s="550"/>
      <c r="K17" s="550"/>
      <c r="L17" s="559"/>
      <c r="M17" s="535"/>
      <c r="N17" s="535"/>
      <c r="O17" s="535"/>
      <c r="P17" s="535"/>
      <c r="Q17" s="535"/>
    </row>
    <row r="18" spans="1:23" x14ac:dyDescent="0.2">
      <c r="D18" s="557" t="s">
        <v>444</v>
      </c>
      <c r="E18" s="550">
        <v>13</v>
      </c>
      <c r="F18" s="550">
        <v>4</v>
      </c>
      <c r="G18" s="550">
        <v>17</v>
      </c>
      <c r="H18" s="550"/>
      <c r="I18" s="550"/>
      <c r="J18" s="550"/>
      <c r="K18" s="550"/>
      <c r="L18" s="559"/>
      <c r="M18" s="535"/>
      <c r="N18" s="535"/>
      <c r="O18" s="535"/>
      <c r="P18" s="535"/>
      <c r="Q18" s="535"/>
      <c r="V18" s="589" t="s">
        <v>445</v>
      </c>
      <c r="W18" s="589">
        <v>162468</v>
      </c>
    </row>
    <row r="19" spans="1:23" x14ac:dyDescent="0.2">
      <c r="D19" s="557" t="s">
        <v>446</v>
      </c>
      <c r="E19" s="550">
        <v>49</v>
      </c>
      <c r="F19" s="550"/>
      <c r="G19" s="550">
        <v>49</v>
      </c>
      <c r="H19" s="550"/>
      <c r="I19" s="550"/>
      <c r="J19" s="550"/>
      <c r="K19" s="550"/>
      <c r="L19" s="559"/>
      <c r="M19" s="535"/>
      <c r="N19" s="535"/>
      <c r="O19" s="535"/>
      <c r="P19" s="535"/>
      <c r="Q19" s="535"/>
      <c r="V19" s="531" t="s">
        <v>447</v>
      </c>
      <c r="W19" s="531">
        <f>528097</f>
        <v>528097</v>
      </c>
    </row>
    <row r="20" spans="1:23" x14ac:dyDescent="0.2">
      <c r="D20" s="557" t="s">
        <v>448</v>
      </c>
      <c r="E20" s="550"/>
      <c r="F20" s="550"/>
      <c r="G20" s="550"/>
      <c r="H20" s="550"/>
      <c r="I20" s="550"/>
      <c r="J20" s="550"/>
      <c r="K20" s="550"/>
      <c r="L20" s="559"/>
      <c r="M20" s="535"/>
      <c r="N20" s="535"/>
      <c r="O20" s="535"/>
      <c r="P20" s="535"/>
      <c r="Q20" s="535"/>
      <c r="W20" s="531">
        <f>W18/W19</f>
        <v>0.30764802678295844</v>
      </c>
    </row>
    <row r="21" spans="1:23" x14ac:dyDescent="0.2">
      <c r="D21" s="557" t="s">
        <v>449</v>
      </c>
      <c r="E21" s="550"/>
      <c r="F21" s="550"/>
      <c r="G21" s="550"/>
      <c r="H21" s="605">
        <f>ABS(H7/H33)</f>
        <v>23.375</v>
      </c>
      <c r="I21" s="605">
        <f t="shared" ref="I21:L21" si="7">ABS(I7/I33)</f>
        <v>52.285714285714285</v>
      </c>
      <c r="J21" s="605">
        <f t="shared" si="7"/>
        <v>32</v>
      </c>
      <c r="K21" s="605">
        <f t="shared" si="7"/>
        <v>740</v>
      </c>
      <c r="L21" s="605">
        <f t="shared" si="7"/>
        <v>62.5</v>
      </c>
      <c r="M21" s="535"/>
      <c r="N21" s="535"/>
      <c r="O21" s="535"/>
      <c r="P21" s="535"/>
      <c r="Q21" s="535"/>
      <c r="V21" s="531" t="s">
        <v>450</v>
      </c>
      <c r="W21" s="531">
        <f>W18+W20*W13</f>
        <v>194732.27916083598</v>
      </c>
    </row>
    <row r="22" spans="1:23" ht="17" thickBot="1" x14ac:dyDescent="0.25">
      <c r="D22" s="560" t="s">
        <v>451</v>
      </c>
      <c r="E22" s="549"/>
      <c r="F22" s="549"/>
      <c r="G22" s="549"/>
      <c r="H22" s="549">
        <f>H15-G15</f>
        <v>10</v>
      </c>
      <c r="I22" s="549">
        <f t="shared" ref="I22:L22" si="8">I15-H15</f>
        <v>-21</v>
      </c>
      <c r="J22" s="549">
        <f t="shared" si="8"/>
        <v>14</v>
      </c>
      <c r="K22" s="549">
        <f t="shared" si="8"/>
        <v>-3</v>
      </c>
      <c r="L22" s="561">
        <f t="shared" si="8"/>
        <v>12</v>
      </c>
      <c r="M22" s="548"/>
      <c r="N22" s="547"/>
      <c r="O22" s="535"/>
      <c r="P22" s="535"/>
      <c r="Q22" s="535"/>
    </row>
    <row r="23" spans="1:23" s="534" customFormat="1" ht="17" thickTop="1" x14ac:dyDescent="0.2">
      <c r="A23" s="531"/>
      <c r="B23" s="531"/>
      <c r="C23" s="531"/>
      <c r="D23" s="554" t="s">
        <v>452</v>
      </c>
      <c r="E23" s="555">
        <f>SUM(E24:E28)</f>
        <v>79</v>
      </c>
      <c r="F23" s="555">
        <f>SUM(F24:F28)</f>
        <v>-23</v>
      </c>
      <c r="G23" s="555">
        <f>SUM(G24:G28)</f>
        <v>56</v>
      </c>
      <c r="H23" s="555">
        <v>56</v>
      </c>
      <c r="I23" s="555">
        <v>59</v>
      </c>
      <c r="J23" s="555">
        <v>59</v>
      </c>
      <c r="K23" s="555">
        <v>61</v>
      </c>
      <c r="L23" s="556">
        <v>61</v>
      </c>
      <c r="M23" s="546"/>
      <c r="N23" s="546"/>
      <c r="O23" s="546"/>
      <c r="P23" s="546"/>
      <c r="Q23" s="546"/>
    </row>
    <row r="24" spans="1:23" x14ac:dyDescent="0.2">
      <c r="D24" s="557" t="s">
        <v>453</v>
      </c>
      <c r="E24" s="558">
        <v>13</v>
      </c>
      <c r="F24" s="550">
        <v>-13</v>
      </c>
      <c r="H24" s="550"/>
      <c r="I24" s="550"/>
      <c r="J24" s="550"/>
      <c r="K24" s="550"/>
      <c r="L24" s="559"/>
      <c r="M24" s="535"/>
      <c r="N24" s="535"/>
      <c r="O24" s="535"/>
      <c r="P24" s="535"/>
      <c r="Q24" s="535"/>
    </row>
    <row r="25" spans="1:23" x14ac:dyDescent="0.2">
      <c r="D25" s="557" t="s">
        <v>454</v>
      </c>
      <c r="E25" s="558">
        <v>30</v>
      </c>
      <c r="F25" s="558">
        <v>-15</v>
      </c>
      <c r="G25" s="550">
        <v>15</v>
      </c>
      <c r="H25" s="558"/>
      <c r="I25" s="558"/>
      <c r="J25" s="558"/>
      <c r="K25" s="550"/>
      <c r="L25" s="559"/>
      <c r="M25" s="536"/>
      <c r="N25" s="536"/>
      <c r="O25" s="536"/>
      <c r="P25" s="536"/>
      <c r="Q25" s="506"/>
    </row>
    <row r="26" spans="1:23" x14ac:dyDescent="0.2">
      <c r="D26" s="557" t="s">
        <v>455</v>
      </c>
      <c r="E26" s="558">
        <v>10</v>
      </c>
      <c r="F26" s="550"/>
      <c r="G26" s="558">
        <v>10</v>
      </c>
      <c r="H26" s="550"/>
      <c r="I26" s="550"/>
      <c r="J26" s="550"/>
      <c r="K26" s="550"/>
      <c r="L26" s="559"/>
      <c r="M26" s="535"/>
      <c r="N26" s="535"/>
      <c r="O26" s="535"/>
      <c r="P26" s="535"/>
      <c r="Q26" s="506"/>
    </row>
    <row r="27" spans="1:23" x14ac:dyDescent="0.2">
      <c r="D27" s="557" t="s">
        <v>456</v>
      </c>
      <c r="E27" s="558">
        <v>10</v>
      </c>
      <c r="F27" s="558"/>
      <c r="G27" s="550">
        <v>10</v>
      </c>
      <c r="H27" s="558"/>
      <c r="I27" s="558"/>
      <c r="J27" s="558"/>
      <c r="K27" s="558"/>
      <c r="L27" s="562"/>
      <c r="M27" s="506"/>
      <c r="N27" s="506"/>
      <c r="O27" s="506"/>
      <c r="P27" s="506"/>
      <c r="Q27" s="506"/>
    </row>
    <row r="28" spans="1:23" x14ac:dyDescent="0.2">
      <c r="D28" s="557" t="s">
        <v>457</v>
      </c>
      <c r="E28" s="558">
        <v>16</v>
      </c>
      <c r="F28" s="563">
        <v>5</v>
      </c>
      <c r="G28" s="558">
        <v>21</v>
      </c>
      <c r="H28" s="563"/>
      <c r="I28" s="563"/>
      <c r="J28" s="563"/>
      <c r="K28" s="563"/>
      <c r="L28" s="564"/>
      <c r="M28" s="538"/>
      <c r="N28" s="538"/>
      <c r="O28" s="538"/>
      <c r="P28" s="538"/>
      <c r="Q28" s="506"/>
    </row>
    <row r="29" spans="1:23" x14ac:dyDescent="0.2">
      <c r="D29" s="557" t="s">
        <v>451</v>
      </c>
      <c r="E29" s="558"/>
      <c r="F29" s="563"/>
      <c r="G29" s="558"/>
      <c r="H29" s="563">
        <f>H23-G23</f>
        <v>0</v>
      </c>
      <c r="I29" s="563">
        <f t="shared" ref="I29:L29" si="9">I23-H23</f>
        <v>3</v>
      </c>
      <c r="J29" s="563">
        <f t="shared" si="9"/>
        <v>0</v>
      </c>
      <c r="K29" s="563">
        <f t="shared" si="9"/>
        <v>2</v>
      </c>
      <c r="L29" s="564">
        <f t="shared" si="9"/>
        <v>0</v>
      </c>
      <c r="M29" s="538"/>
      <c r="N29" s="538"/>
      <c r="O29" s="538"/>
      <c r="P29" s="538"/>
      <c r="Q29" s="506"/>
    </row>
    <row r="30" spans="1:23" s="534" customFormat="1" x14ac:dyDescent="0.2">
      <c r="A30" s="531"/>
      <c r="B30" s="531"/>
      <c r="C30" s="531"/>
      <c r="D30" s="565" t="s">
        <v>458</v>
      </c>
      <c r="E30" s="552">
        <f>E15+E23</f>
        <v>328</v>
      </c>
      <c r="F30" s="552">
        <f>SUM(F24:F28,F16:F22)</f>
        <v>-38</v>
      </c>
      <c r="G30" s="552">
        <f t="shared" ref="G30:L30" si="10">G15+G23</f>
        <v>290</v>
      </c>
      <c r="H30" s="552">
        <f t="shared" si="10"/>
        <v>300</v>
      </c>
      <c r="I30" s="552">
        <f t="shared" si="10"/>
        <v>282</v>
      </c>
      <c r="J30" s="552">
        <f t="shared" si="10"/>
        <v>296</v>
      </c>
      <c r="K30" s="552">
        <f t="shared" si="10"/>
        <v>295</v>
      </c>
      <c r="L30" s="566">
        <f t="shared" si="10"/>
        <v>307</v>
      </c>
      <c r="M30" s="535"/>
      <c r="N30" s="535"/>
      <c r="O30" s="535"/>
      <c r="P30" s="535"/>
      <c r="Q30" s="535"/>
      <c r="R30" s="535"/>
    </row>
    <row r="31" spans="1:23" x14ac:dyDescent="0.2">
      <c r="D31" s="557" t="s">
        <v>459</v>
      </c>
      <c r="E31" s="558">
        <v>12</v>
      </c>
      <c r="F31" s="558">
        <v>4</v>
      </c>
      <c r="G31" s="558">
        <v>16</v>
      </c>
      <c r="H31" s="558">
        <f>H32-H30</f>
        <v>22</v>
      </c>
      <c r="I31" s="558">
        <f t="shared" ref="I31:L31" si="11">I32-I30</f>
        <v>19</v>
      </c>
      <c r="J31" s="558">
        <f t="shared" si="11"/>
        <v>19</v>
      </c>
      <c r="K31" s="558">
        <f t="shared" si="11"/>
        <v>19</v>
      </c>
      <c r="L31" s="562">
        <f t="shared" si="11"/>
        <v>19</v>
      </c>
      <c r="M31" s="535"/>
      <c r="N31" s="535"/>
      <c r="O31" s="535"/>
      <c r="P31" s="535"/>
      <c r="Q31" s="535"/>
      <c r="R31" s="535"/>
    </row>
    <row r="32" spans="1:23" ht="17" thickBot="1" x14ac:dyDescent="0.25">
      <c r="D32" s="567" t="s">
        <v>460</v>
      </c>
      <c r="E32" s="551">
        <f>SUM(E30:E31)</f>
        <v>340</v>
      </c>
      <c r="F32" s="551">
        <f t="shared" ref="F32:G32" si="12">SUM(F30:F31)</f>
        <v>-34</v>
      </c>
      <c r="G32" s="551">
        <f t="shared" si="12"/>
        <v>306</v>
      </c>
      <c r="H32" s="551">
        <v>322</v>
      </c>
      <c r="I32" s="551">
        <v>301</v>
      </c>
      <c r="J32" s="551">
        <v>315</v>
      </c>
      <c r="K32" s="551">
        <v>314</v>
      </c>
      <c r="L32" s="568">
        <v>326</v>
      </c>
      <c r="M32" s="535"/>
      <c r="N32" s="535"/>
      <c r="O32" s="535"/>
      <c r="P32" s="535"/>
      <c r="Q32" s="535"/>
      <c r="R32" s="535"/>
      <c r="S32" s="506"/>
      <c r="T32" s="506"/>
    </row>
    <row r="33" spans="4:47" ht="17" thickTop="1" x14ac:dyDescent="0.2">
      <c r="D33" s="554" t="s">
        <v>451</v>
      </c>
      <c r="E33" s="555"/>
      <c r="F33" s="555"/>
      <c r="G33" s="555"/>
      <c r="H33" s="555">
        <f>H32-G32</f>
        <v>16</v>
      </c>
      <c r="I33" s="555">
        <f t="shared" ref="I33:L33" si="13">I32-H32</f>
        <v>-21</v>
      </c>
      <c r="J33" s="555">
        <f t="shared" si="13"/>
        <v>14</v>
      </c>
      <c r="K33" s="555">
        <f t="shared" si="13"/>
        <v>-1</v>
      </c>
      <c r="L33" s="556">
        <f t="shared" si="13"/>
        <v>12</v>
      </c>
      <c r="M33" s="535"/>
      <c r="N33" s="535"/>
      <c r="O33" s="535"/>
      <c r="P33" s="535"/>
      <c r="Q33" s="535"/>
      <c r="R33" s="535"/>
      <c r="S33" s="506"/>
      <c r="T33" s="506"/>
    </row>
    <row r="34" spans="4:47" x14ac:dyDescent="0.2">
      <c r="D34" s="557" t="s">
        <v>461</v>
      </c>
      <c r="E34" s="569"/>
      <c r="F34" s="569"/>
      <c r="G34" s="569"/>
      <c r="H34" s="569"/>
      <c r="I34" s="569"/>
      <c r="J34" s="569"/>
      <c r="K34" s="569"/>
      <c r="L34" s="570"/>
      <c r="M34" s="535"/>
      <c r="N34" s="535"/>
      <c r="O34" s="535"/>
      <c r="P34" s="535"/>
      <c r="Q34" s="535"/>
      <c r="R34" s="535"/>
      <c r="S34" s="506"/>
      <c r="T34" s="506"/>
    </row>
    <row r="35" spans="4:47" x14ac:dyDescent="0.2">
      <c r="D35" s="557" t="s">
        <v>462</v>
      </c>
      <c r="E35" s="572"/>
      <c r="F35" s="572">
        <v>-6</v>
      </c>
      <c r="G35" s="572"/>
      <c r="H35" s="572"/>
      <c r="I35" s="572"/>
      <c r="J35" s="572"/>
      <c r="K35" s="572"/>
      <c r="L35" s="573"/>
      <c r="M35" s="535"/>
      <c r="N35" s="535"/>
      <c r="O35" s="535"/>
      <c r="P35" s="535"/>
      <c r="Q35" s="535"/>
      <c r="R35" s="535"/>
      <c r="S35" s="506"/>
      <c r="T35" s="506"/>
    </row>
    <row r="36" spans="4:47" ht="17" thickBot="1" x14ac:dyDescent="0.25">
      <c r="D36" s="571" t="s">
        <v>463</v>
      </c>
      <c r="E36" s="574">
        <f>E32+SUM(E34:E35)</f>
        <v>340</v>
      </c>
      <c r="F36" s="574">
        <f t="shared" ref="F36:L36" si="14">F32+SUM(F34:F35)</f>
        <v>-40</v>
      </c>
      <c r="G36" s="574">
        <f t="shared" si="14"/>
        <v>306</v>
      </c>
      <c r="H36" s="574">
        <f t="shared" si="14"/>
        <v>322</v>
      </c>
      <c r="I36" s="574">
        <f t="shared" si="14"/>
        <v>301</v>
      </c>
      <c r="J36" s="574">
        <f t="shared" si="14"/>
        <v>315</v>
      </c>
      <c r="K36" s="574">
        <f t="shared" si="14"/>
        <v>314</v>
      </c>
      <c r="L36" s="575">
        <f t="shared" si="14"/>
        <v>326</v>
      </c>
      <c r="M36" s="535"/>
      <c r="N36" s="535"/>
      <c r="O36" s="535"/>
      <c r="P36" s="535"/>
      <c r="Q36" s="535"/>
      <c r="R36" s="535"/>
      <c r="S36" s="506"/>
      <c r="T36" s="506"/>
    </row>
    <row r="37" spans="4:47" x14ac:dyDescent="0.2">
      <c r="D37" s="537"/>
      <c r="E37" s="539"/>
      <c r="F37" s="539"/>
      <c r="G37" s="539"/>
      <c r="H37" s="539"/>
      <c r="I37" s="539"/>
      <c r="J37" s="539"/>
      <c r="K37" s="539"/>
      <c r="L37" s="539"/>
      <c r="M37" s="535"/>
      <c r="N37" s="535"/>
      <c r="O37" s="535"/>
      <c r="P37" s="535"/>
      <c r="Q37" s="535"/>
      <c r="R37" s="535"/>
      <c r="S37" s="506"/>
      <c r="T37" s="506"/>
    </row>
    <row r="38" spans="4:47" x14ac:dyDescent="0.2">
      <c r="D38" s="539"/>
      <c r="E38" s="539"/>
      <c r="F38" s="539"/>
      <c r="G38" s="539"/>
      <c r="H38" s="539"/>
      <c r="I38" s="539"/>
      <c r="J38" s="539"/>
      <c r="K38" s="539"/>
      <c r="L38" s="539"/>
      <c r="M38" s="539"/>
      <c r="N38" s="539"/>
      <c r="O38" s="539"/>
      <c r="P38" s="539"/>
      <c r="Q38" s="506"/>
      <c r="R38" s="506"/>
      <c r="S38" s="506"/>
      <c r="T38" s="506"/>
    </row>
    <row r="39" spans="4:47" x14ac:dyDescent="0.2">
      <c r="D39" s="540"/>
      <c r="E39" s="541"/>
      <c r="F39" s="541"/>
      <c r="G39" s="541"/>
      <c r="H39" s="541"/>
      <c r="I39" s="541"/>
      <c r="J39" s="541"/>
      <c r="K39" s="541"/>
      <c r="L39" s="541"/>
      <c r="M39" s="541"/>
      <c r="N39" s="541"/>
      <c r="O39" s="541"/>
      <c r="P39" s="541"/>
      <c r="Q39" s="506"/>
      <c r="R39" s="506"/>
      <c r="S39" s="506"/>
      <c r="T39" s="506"/>
    </row>
    <row r="40" spans="4:47" x14ac:dyDescent="0.2">
      <c r="D40" s="506"/>
      <c r="E40" s="506"/>
      <c r="F40" s="506"/>
      <c r="G40" s="506"/>
      <c r="H40" s="506"/>
      <c r="I40" s="506"/>
      <c r="J40" s="506"/>
      <c r="K40" s="506"/>
      <c r="L40" s="506"/>
      <c r="M40" s="506"/>
      <c r="N40" s="506"/>
      <c r="O40" s="506"/>
      <c r="P40" s="506"/>
      <c r="Q40" s="506"/>
      <c r="R40" s="506"/>
      <c r="S40" s="506"/>
      <c r="T40" s="506"/>
    </row>
    <row r="41" spans="4:47" x14ac:dyDescent="0.2">
      <c r="D41" s="506"/>
      <c r="F41" s="506"/>
      <c r="G41" s="506"/>
      <c r="H41" s="506"/>
      <c r="I41" s="506"/>
      <c r="J41" s="506"/>
      <c r="K41" s="506"/>
      <c r="L41" s="506"/>
      <c r="M41" s="506"/>
      <c r="N41" s="506"/>
      <c r="O41" s="506"/>
      <c r="P41" s="506"/>
      <c r="Q41" s="506"/>
      <c r="R41" s="506"/>
      <c r="S41" s="506"/>
      <c r="T41" s="506"/>
    </row>
    <row r="42" spans="4:47" x14ac:dyDescent="0.2">
      <c r="D42" s="506"/>
      <c r="F42" s="542"/>
      <c r="G42" s="506"/>
      <c r="H42" s="506"/>
      <c r="I42" s="506"/>
      <c r="J42" s="506"/>
      <c r="K42" s="506"/>
      <c r="L42" s="506"/>
      <c r="M42" s="506"/>
      <c r="N42" s="506"/>
      <c r="O42" s="506"/>
      <c r="P42" s="506"/>
      <c r="Q42" s="506"/>
      <c r="R42" s="506"/>
      <c r="S42" s="506"/>
      <c r="T42" s="506"/>
    </row>
    <row r="43" spans="4:47" x14ac:dyDescent="0.2">
      <c r="D43" s="537"/>
      <c r="F43" s="506"/>
      <c r="G43" s="506"/>
      <c r="H43" s="506"/>
      <c r="I43" s="506"/>
      <c r="J43" s="506"/>
      <c r="K43" s="506"/>
      <c r="L43" s="506"/>
      <c r="M43" s="506"/>
      <c r="N43" s="506"/>
      <c r="O43" s="506"/>
      <c r="P43" s="506"/>
      <c r="Q43" s="506"/>
      <c r="R43" s="506"/>
      <c r="S43" s="506"/>
      <c r="T43" s="506"/>
    </row>
    <row r="44" spans="4:47" x14ac:dyDescent="0.2">
      <c r="D44" s="543"/>
      <c r="F44" s="506"/>
      <c r="G44" s="506"/>
      <c r="H44" s="506"/>
      <c r="I44" s="506"/>
      <c r="J44" s="506"/>
      <c r="K44" s="506"/>
      <c r="L44" s="506"/>
      <c r="M44" s="506"/>
      <c r="N44" s="506"/>
      <c r="O44" s="506"/>
      <c r="P44" s="506"/>
      <c r="Q44" s="506"/>
      <c r="R44" s="506"/>
      <c r="S44" s="506"/>
      <c r="T44" s="506"/>
    </row>
    <row r="45" spans="4:47" x14ac:dyDescent="0.2">
      <c r="D45" s="506"/>
      <c r="F45" s="506"/>
      <c r="G45" s="506"/>
      <c r="H45" s="506"/>
      <c r="I45" s="506"/>
      <c r="J45" s="506"/>
      <c r="K45" s="506"/>
      <c r="L45" s="506"/>
      <c r="M45" s="506"/>
      <c r="N45" s="506"/>
      <c r="O45" s="506"/>
      <c r="P45" s="506"/>
      <c r="Q45" s="506"/>
      <c r="R45" s="506"/>
      <c r="S45" s="506"/>
      <c r="T45" s="506"/>
      <c r="AU45" s="531">
        <v>20</v>
      </c>
    </row>
    <row r="46" spans="4:47" x14ac:dyDescent="0.2">
      <c r="D46" s="540"/>
      <c r="F46" s="506"/>
      <c r="G46" s="506"/>
      <c r="H46" s="506"/>
      <c r="I46" s="506"/>
      <c r="J46" s="506"/>
      <c r="K46" s="506"/>
      <c r="L46" s="506"/>
      <c r="M46" s="506"/>
      <c r="N46" s="506"/>
      <c r="O46" s="506"/>
      <c r="P46" s="506"/>
      <c r="Q46" s="506"/>
      <c r="R46" s="506"/>
      <c r="S46" s="506"/>
      <c r="T46" s="506"/>
    </row>
    <row r="47" spans="4:47" x14ac:dyDescent="0.2">
      <c r="D47" s="506"/>
      <c r="E47" s="506"/>
      <c r="F47" s="506"/>
      <c r="G47" s="506"/>
      <c r="H47" s="506"/>
      <c r="I47" s="506"/>
      <c r="J47" s="506"/>
      <c r="K47" s="506"/>
      <c r="L47" s="506"/>
      <c r="M47" s="506"/>
      <c r="N47" s="506"/>
      <c r="O47" s="506"/>
      <c r="P47" s="506"/>
      <c r="Q47" s="506"/>
      <c r="R47" s="506"/>
      <c r="S47" s="506"/>
      <c r="T47" s="506"/>
    </row>
    <row r="48" spans="4:47" x14ac:dyDescent="0.2">
      <c r="D48" s="506"/>
      <c r="E48" s="506"/>
      <c r="F48" s="506"/>
      <c r="G48" s="506"/>
      <c r="H48" s="506"/>
      <c r="I48" s="506"/>
      <c r="J48" s="506"/>
      <c r="K48" s="506"/>
      <c r="L48" s="506"/>
      <c r="M48" s="506"/>
      <c r="N48" s="506"/>
      <c r="O48" s="506"/>
      <c r="P48" s="506"/>
      <c r="Q48" s="506"/>
      <c r="R48" s="506"/>
      <c r="S48" s="506"/>
      <c r="T48" s="506"/>
    </row>
    <row r="49" spans="4:58" x14ac:dyDescent="0.2">
      <c r="D49" s="506"/>
      <c r="E49" s="506"/>
      <c r="F49" s="506"/>
      <c r="G49" s="506"/>
      <c r="H49" s="506"/>
      <c r="I49" s="506"/>
      <c r="J49" s="506"/>
      <c r="K49" s="506"/>
      <c r="L49" s="506"/>
      <c r="M49" s="506"/>
      <c r="N49" s="506"/>
      <c r="O49" s="506"/>
      <c r="P49" s="506"/>
      <c r="Q49" s="506"/>
      <c r="R49" s="506"/>
      <c r="S49" s="506"/>
      <c r="T49" s="506"/>
      <c r="AY49" s="531" t="s">
        <v>464</v>
      </c>
      <c r="AZ49" s="531" t="s">
        <v>465</v>
      </c>
      <c r="BA49" s="531" t="s">
        <v>466</v>
      </c>
      <c r="BB49" s="531" t="s">
        <v>467</v>
      </c>
      <c r="BC49" s="531" t="s">
        <v>468</v>
      </c>
      <c r="BD49" s="531" t="s">
        <v>469</v>
      </c>
      <c r="BE49" s="531" t="s">
        <v>470</v>
      </c>
      <c r="BF49" s="531" t="s">
        <v>471</v>
      </c>
    </row>
    <row r="51" spans="4:58" x14ac:dyDescent="0.2">
      <c r="AX51" s="531">
        <v>400000</v>
      </c>
    </row>
    <row r="52" spans="4:58" x14ac:dyDescent="0.2">
      <c r="AS52" s="531" t="s">
        <v>468</v>
      </c>
      <c r="AT52" s="531" t="s">
        <v>469</v>
      </c>
      <c r="AU52" s="531" t="s">
        <v>470</v>
      </c>
      <c r="AV52" s="531" t="s">
        <v>471</v>
      </c>
      <c r="AW52" s="531" t="s">
        <v>472</v>
      </c>
      <c r="AX52" s="531" t="s">
        <v>473</v>
      </c>
    </row>
    <row r="53" spans="4:58" ht="17" thickBot="1" x14ac:dyDescent="0.25">
      <c r="AX53" s="531" t="s">
        <v>474</v>
      </c>
    </row>
    <row r="54" spans="4:58" ht="17" thickBot="1" x14ac:dyDescent="0.25">
      <c r="X54" s="1217" t="s">
        <v>475</v>
      </c>
      <c r="Y54" s="1218"/>
      <c r="Z54" s="1218"/>
      <c r="AA54" s="1218"/>
      <c r="AB54" s="1218"/>
      <c r="AC54" s="1218"/>
      <c r="AD54" s="1218"/>
      <c r="AE54" s="1218"/>
      <c r="AF54" s="1218"/>
      <c r="AG54" s="1218"/>
      <c r="AH54" s="1217" t="s">
        <v>476</v>
      </c>
      <c r="AI54" s="1218"/>
      <c r="AJ54" s="1218"/>
      <c r="AK54" s="1218"/>
      <c r="AL54" s="1218"/>
      <c r="AM54" s="1218"/>
      <c r="AN54" s="1218"/>
      <c r="AO54" s="1218"/>
      <c r="AP54" s="1218"/>
      <c r="AQ54" s="1218"/>
      <c r="AR54" s="1217" t="s">
        <v>477</v>
      </c>
      <c r="AS54" s="1218"/>
      <c r="AT54" s="1218"/>
      <c r="AU54" s="1218"/>
      <c r="AV54" s="1218"/>
      <c r="AW54" s="1218"/>
      <c r="AX54" s="1218"/>
      <c r="AY54" s="1218"/>
      <c r="AZ54" s="1218"/>
      <c r="BA54" s="1218"/>
    </row>
    <row r="55" spans="4:58" x14ac:dyDescent="0.2">
      <c r="X55" s="593">
        <v>2018</v>
      </c>
      <c r="Y55" s="555">
        <v>2019</v>
      </c>
      <c r="Z55" s="555">
        <v>2020</v>
      </c>
      <c r="AA55" s="591">
        <v>2021</v>
      </c>
      <c r="AB55" s="590" t="s">
        <v>0</v>
      </c>
      <c r="AC55" s="590" t="s">
        <v>1</v>
      </c>
      <c r="AD55" s="590" t="s">
        <v>2</v>
      </c>
      <c r="AE55" s="590" t="s">
        <v>3</v>
      </c>
      <c r="AF55" s="590" t="s">
        <v>4</v>
      </c>
      <c r="AG55" s="590" t="s">
        <v>5</v>
      </c>
      <c r="AH55" s="593">
        <v>2018</v>
      </c>
      <c r="AI55" s="555">
        <v>2019</v>
      </c>
      <c r="AJ55" s="555">
        <v>2020</v>
      </c>
      <c r="AK55" s="591">
        <v>2021</v>
      </c>
      <c r="AL55" s="590" t="s">
        <v>0</v>
      </c>
      <c r="AM55" s="590" t="s">
        <v>1</v>
      </c>
      <c r="AN55" s="590" t="s">
        <v>2</v>
      </c>
      <c r="AO55" s="590" t="s">
        <v>3</v>
      </c>
      <c r="AP55" s="590" t="s">
        <v>4</v>
      </c>
      <c r="AQ55" s="590" t="s">
        <v>5</v>
      </c>
      <c r="AR55" s="555">
        <v>2018</v>
      </c>
      <c r="AS55" s="555">
        <v>2019</v>
      </c>
      <c r="AT55" s="555">
        <v>2020</v>
      </c>
      <c r="AU55" s="555">
        <v>2021</v>
      </c>
      <c r="AV55" s="590" t="s">
        <v>0</v>
      </c>
      <c r="AW55" s="590" t="s">
        <v>1</v>
      </c>
      <c r="AX55" s="590" t="s">
        <v>2</v>
      </c>
      <c r="AY55" s="590" t="s">
        <v>3</v>
      </c>
      <c r="AZ55" s="590" t="s">
        <v>4</v>
      </c>
      <c r="BA55" s="590" t="s">
        <v>5</v>
      </c>
    </row>
    <row r="56" spans="4:58" x14ac:dyDescent="0.2">
      <c r="W56" s="604" t="s">
        <v>478</v>
      </c>
      <c r="X56" s="594">
        <v>630320</v>
      </c>
      <c r="Y56" s="517">
        <v>372589</v>
      </c>
      <c r="Z56" s="517">
        <v>377961</v>
      </c>
      <c r="AA56" s="592">
        <v>473797</v>
      </c>
      <c r="AH56" s="594" t="s">
        <v>58</v>
      </c>
      <c r="AI56" s="517"/>
      <c r="AJ56" s="517" t="s">
        <v>58</v>
      </c>
      <c r="AK56" s="592" t="s">
        <v>58</v>
      </c>
      <c r="AR56" s="517">
        <f t="shared" ref="AR56:AU57" si="15">X56</f>
        <v>630320</v>
      </c>
      <c r="AS56" s="517">
        <f t="shared" si="15"/>
        <v>372589</v>
      </c>
      <c r="AT56" s="517">
        <f t="shared" si="15"/>
        <v>377961</v>
      </c>
      <c r="AU56" s="517">
        <f t="shared" si="15"/>
        <v>473797</v>
      </c>
      <c r="AV56" s="517">
        <f t="shared" ref="AV56:BA56" si="16">$AU$56</f>
        <v>473797</v>
      </c>
      <c r="AW56" s="517">
        <f t="shared" si="16"/>
        <v>473797</v>
      </c>
      <c r="AX56" s="517">
        <f t="shared" si="16"/>
        <v>473797</v>
      </c>
      <c r="AY56" s="517">
        <f t="shared" si="16"/>
        <v>473797</v>
      </c>
      <c r="AZ56" s="517">
        <f t="shared" si="16"/>
        <v>473797</v>
      </c>
      <c r="BA56" s="517">
        <f t="shared" si="16"/>
        <v>473797</v>
      </c>
    </row>
    <row r="57" spans="4:58" x14ac:dyDescent="0.2">
      <c r="W57" s="595" t="s">
        <v>479</v>
      </c>
      <c r="X57" s="594">
        <v>45424</v>
      </c>
      <c r="Y57" s="517">
        <v>48406</v>
      </c>
      <c r="Z57" s="517">
        <v>42979</v>
      </c>
      <c r="AA57" s="592">
        <v>43276</v>
      </c>
      <c r="AH57" s="594" t="s">
        <v>58</v>
      </c>
      <c r="AI57" s="517"/>
      <c r="AJ57" s="517" t="s">
        <v>58</v>
      </c>
      <c r="AK57" s="592" t="s">
        <v>58</v>
      </c>
      <c r="AR57" s="517">
        <f t="shared" si="15"/>
        <v>45424</v>
      </c>
      <c r="AS57" s="517">
        <f t="shared" si="15"/>
        <v>48406</v>
      </c>
      <c r="AT57" s="517">
        <f t="shared" si="15"/>
        <v>42979</v>
      </c>
      <c r="AU57" s="517">
        <f t="shared" si="15"/>
        <v>43276</v>
      </c>
      <c r="AV57" s="517">
        <f>AU57</f>
        <v>43276</v>
      </c>
      <c r="AW57" s="517">
        <f t="shared" ref="AW57:BA57" si="17">AV57</f>
        <v>43276</v>
      </c>
      <c r="AX57" s="517">
        <f t="shared" si="17"/>
        <v>43276</v>
      </c>
      <c r="AY57" s="517">
        <f t="shared" si="17"/>
        <v>43276</v>
      </c>
      <c r="AZ57" s="517">
        <f t="shared" si="17"/>
        <v>43276</v>
      </c>
      <c r="BA57" s="517">
        <f t="shared" si="17"/>
        <v>43276</v>
      </c>
    </row>
    <row r="58" spans="4:58" x14ac:dyDescent="0.2">
      <c r="W58" s="595" t="s">
        <v>480</v>
      </c>
      <c r="X58" s="594">
        <v>179907</v>
      </c>
      <c r="Y58" s="517">
        <v>133488</v>
      </c>
      <c r="Z58" s="517">
        <v>123836</v>
      </c>
      <c r="AA58" s="592">
        <v>121972</v>
      </c>
      <c r="AH58" s="594">
        <v>-67342</v>
      </c>
      <c r="AI58" s="517">
        <v>-58626</v>
      </c>
      <c r="AJ58" s="517">
        <v>-58629</v>
      </c>
      <c r="AK58" s="592">
        <v>-61521</v>
      </c>
      <c r="AR58" s="517">
        <f t="shared" ref="AR58:AU64" si="18">X58+AH58</f>
        <v>112565</v>
      </c>
      <c r="AS58" s="517">
        <f t="shared" si="18"/>
        <v>74862</v>
      </c>
      <c r="AT58" s="517">
        <f t="shared" si="18"/>
        <v>65207</v>
      </c>
      <c r="AU58" s="517">
        <f t="shared" si="18"/>
        <v>60451</v>
      </c>
      <c r="AV58" s="517">
        <f t="shared" ref="AV58:BA58" si="19">AU58+$AI$76</f>
        <v>60451</v>
      </c>
      <c r="AW58" s="517">
        <f t="shared" si="19"/>
        <v>60451</v>
      </c>
      <c r="AX58" s="517">
        <f t="shared" si="19"/>
        <v>60451</v>
      </c>
      <c r="AY58" s="517">
        <f t="shared" si="19"/>
        <v>60451</v>
      </c>
      <c r="AZ58" s="517">
        <f t="shared" si="19"/>
        <v>60451</v>
      </c>
      <c r="BA58" s="517">
        <f t="shared" si="19"/>
        <v>60451</v>
      </c>
    </row>
    <row r="59" spans="4:58" x14ac:dyDescent="0.2">
      <c r="W59" s="595" t="s">
        <v>481</v>
      </c>
      <c r="X59" s="594">
        <v>13333837</v>
      </c>
      <c r="Y59" s="517">
        <v>13993044</v>
      </c>
      <c r="Z59" s="517">
        <v>12983173</v>
      </c>
      <c r="AA59" s="592">
        <v>11024722</v>
      </c>
      <c r="AB59" s="601"/>
      <c r="AC59" s="601"/>
      <c r="AD59" s="601"/>
      <c r="AE59" s="601"/>
      <c r="AF59" s="601"/>
      <c r="AG59" s="601"/>
      <c r="AH59" s="594">
        <v>-4361337</v>
      </c>
      <c r="AI59" s="517">
        <v>-4630001</v>
      </c>
      <c r="AJ59" s="517">
        <v>-5292429</v>
      </c>
      <c r="AK59" s="592">
        <v>-4462706</v>
      </c>
      <c r="AL59" s="592"/>
      <c r="AM59" s="592"/>
      <c r="AN59" s="592"/>
      <c r="AO59" s="592"/>
      <c r="AP59" s="592"/>
      <c r="AQ59" s="592"/>
      <c r="AR59" s="517">
        <f t="shared" si="18"/>
        <v>8972500</v>
      </c>
      <c r="AS59" s="517">
        <f t="shared" si="18"/>
        <v>9363043</v>
      </c>
      <c r="AT59" s="517">
        <f t="shared" si="18"/>
        <v>7690744</v>
      </c>
      <c r="AU59" s="517">
        <f t="shared" si="18"/>
        <v>6562016</v>
      </c>
      <c r="AV59" s="788">
        <f>AU59</f>
        <v>6562016</v>
      </c>
      <c r="AW59" s="788">
        <f t="shared" ref="AW59:BA59" si="20">AV59</f>
        <v>6562016</v>
      </c>
      <c r="AX59" s="788">
        <f t="shared" si="20"/>
        <v>6562016</v>
      </c>
      <c r="AY59" s="788">
        <f t="shared" si="20"/>
        <v>6562016</v>
      </c>
      <c r="AZ59" s="788">
        <f t="shared" si="20"/>
        <v>6562016</v>
      </c>
      <c r="BA59" s="788">
        <f t="shared" si="20"/>
        <v>6562016</v>
      </c>
    </row>
    <row r="60" spans="4:58" x14ac:dyDescent="0.2">
      <c r="W60" s="595" t="s">
        <v>482</v>
      </c>
      <c r="X60" s="594">
        <v>34253</v>
      </c>
      <c r="Y60" s="517">
        <v>33658</v>
      </c>
      <c r="Z60" s="517">
        <v>27402</v>
      </c>
      <c r="AA60" s="592">
        <v>25764</v>
      </c>
      <c r="AB60" s="592">
        <f>(AV60-AU60)*(1+ABS($AH$60-$AI$60)/$Y$60)+AA60+$AH$60-$AI$60</f>
        <v>28572.806352143187</v>
      </c>
      <c r="AC60" s="592">
        <f t="shared" ref="AC60:AG61" si="21">AW60-AV60+AB60</f>
        <v>29222.374402726542</v>
      </c>
      <c r="AD60" s="592">
        <f t="shared" si="21"/>
        <v>29962.697526293618</v>
      </c>
      <c r="AE60" s="592">
        <f t="shared" si="21"/>
        <v>30189.966474929483</v>
      </c>
      <c r="AF60" s="592">
        <f t="shared" si="21"/>
        <v>30404.146788027421</v>
      </c>
      <c r="AG60" s="592">
        <f t="shared" si="21"/>
        <v>30629.217344437871</v>
      </c>
      <c r="AH60" s="594">
        <v>-27659</v>
      </c>
      <c r="AI60" s="517">
        <v>-28441</v>
      </c>
      <c r="AJ60" s="517">
        <v>-23986</v>
      </c>
      <c r="AK60" s="592">
        <v>-23501</v>
      </c>
      <c r="AL60" s="507"/>
      <c r="AM60" s="507"/>
      <c r="AN60" s="507"/>
      <c r="AO60" s="507"/>
      <c r="AP60" s="507"/>
      <c r="AQ60" s="507"/>
      <c r="AR60" s="517">
        <f t="shared" si="18"/>
        <v>6594</v>
      </c>
      <c r="AS60" s="517">
        <f t="shared" si="18"/>
        <v>5217</v>
      </c>
      <c r="AT60" s="517">
        <f t="shared" si="18"/>
        <v>3416</v>
      </c>
      <c r="AU60" s="517">
        <f t="shared" si="18"/>
        <v>2263</v>
      </c>
      <c r="AV60" s="517">
        <f>(SUM('Forecast Drivers'!H25,'Forecast Drivers'!H68,'Forecast Drivers'!H113)/SUM('Forecast Drivers'!$E$25,'Forecast Drivers'!$E$68,'Forecast Drivers'!$E$113))*ABS($AS$60)</f>
        <v>4243.7853716735008</v>
      </c>
      <c r="AW60" s="517">
        <f>(SUM('Forecast Drivers'!I25,'Forecast Drivers'!I68,'Forecast Drivers'!I113)/SUM('Forecast Drivers'!$E$25,'Forecast Drivers'!$E$68,'Forecast Drivers'!$E$113))*ABS($AS$60)</f>
        <v>4893.353422256856</v>
      </c>
      <c r="AX60" s="517">
        <f>(SUM('Forecast Drivers'!J25,'Forecast Drivers'!J68,'Forecast Drivers'!J113)/SUM('Forecast Drivers'!$E$25,'Forecast Drivers'!$E$68,'Forecast Drivers'!$E$113))*ABS($AS$60)</f>
        <v>5633.6765458239315</v>
      </c>
      <c r="AY60" s="517">
        <f>(SUM('Forecast Drivers'!K25,'Forecast Drivers'!K68,'Forecast Drivers'!K113)/SUM('Forecast Drivers'!$E$25,'Forecast Drivers'!$E$68,'Forecast Drivers'!$E$113))*ABS($AS$60)</f>
        <v>5860.9454944597965</v>
      </c>
      <c r="AZ60" s="517">
        <f>(SUM('Forecast Drivers'!L25,'Forecast Drivers'!L68,'Forecast Drivers'!L113)/SUM('Forecast Drivers'!$E$25,'Forecast Drivers'!$E$68,'Forecast Drivers'!$E$113))*ABS($AS$60)</f>
        <v>6075.1258075577362</v>
      </c>
      <c r="BA60" s="517">
        <f>(SUM('Forecast Drivers'!M25,'Forecast Drivers'!M68,'Forecast Drivers'!M113)/SUM('Forecast Drivers'!$E$25,'Forecast Drivers'!$E$68,'Forecast Drivers'!$E$113))*ABS($AS$60)</f>
        <v>6300.1963639681853</v>
      </c>
    </row>
    <row r="61" spans="4:58" x14ac:dyDescent="0.2">
      <c r="W61" s="595" t="s">
        <v>483</v>
      </c>
      <c r="X61" s="594">
        <v>160936</v>
      </c>
      <c r="Y61" s="517">
        <v>161992</v>
      </c>
      <c r="Z61" s="517">
        <v>147754</v>
      </c>
      <c r="AA61" s="592">
        <v>146986</v>
      </c>
      <c r="AB61" s="592">
        <f>AV61-AU61+AA61</f>
        <v>147050.30379181303</v>
      </c>
      <c r="AC61" s="592">
        <f t="shared" si="21"/>
        <v>149637.12108506964</v>
      </c>
      <c r="AD61" s="592">
        <f t="shared" si="21"/>
        <v>152585.35823577494</v>
      </c>
      <c r="AE61" s="592">
        <f t="shared" si="21"/>
        <v>153490.42622060506</v>
      </c>
      <c r="AF61" s="592">
        <f t="shared" si="21"/>
        <v>154343.37047686783</v>
      </c>
      <c r="AG61" s="592">
        <f t="shared" si="21"/>
        <v>155239.68366068677</v>
      </c>
      <c r="AH61" s="594">
        <v>-138372</v>
      </c>
      <c r="AI61" s="517">
        <v>-141216</v>
      </c>
      <c r="AJ61" s="517">
        <v>-132923</v>
      </c>
      <c r="AK61" s="592">
        <v>-130150</v>
      </c>
      <c r="AR61" s="517">
        <f t="shared" si="18"/>
        <v>22564</v>
      </c>
      <c r="AS61" s="517">
        <f t="shared" si="18"/>
        <v>20776</v>
      </c>
      <c r="AT61" s="517">
        <f t="shared" si="18"/>
        <v>14831</v>
      </c>
      <c r="AU61" s="517">
        <f t="shared" si="18"/>
        <v>16836</v>
      </c>
      <c r="AV61" s="517">
        <f>(SUM('Forecast Drivers'!H25,'Forecast Drivers'!H68,'Forecast Drivers'!H113)/SUM('Forecast Drivers'!$E$25,'Forecast Drivers'!$E$68,'Forecast Drivers'!$E$113))*ABS($AS$61)</f>
        <v>16900.303791813043</v>
      </c>
      <c r="AW61" s="517">
        <f>(SUM('Forecast Drivers'!I25,'Forecast Drivers'!I68,'Forecast Drivers'!I113)/SUM('Forecast Drivers'!$E$25,'Forecast Drivers'!$E$68,'Forecast Drivers'!$E$113))*ABS($AS$61)</f>
        <v>19487.121085069663</v>
      </c>
      <c r="AX61" s="517">
        <f>(SUM('Forecast Drivers'!J25,'Forecast Drivers'!J68,'Forecast Drivers'!J113)/SUM('Forecast Drivers'!$E$25,'Forecast Drivers'!$E$68,'Forecast Drivers'!$E$113))*ABS($AS$61)</f>
        <v>22435.358235774966</v>
      </c>
      <c r="AY61" s="517">
        <f>(SUM('Forecast Drivers'!K25,'Forecast Drivers'!K68,'Forecast Drivers'!K113)/SUM('Forecast Drivers'!$E$25,'Forecast Drivers'!$E$68,'Forecast Drivers'!$E$113))*ABS($AS$61)</f>
        <v>23340.426220605084</v>
      </c>
      <c r="AZ61" s="517">
        <f>(SUM('Forecast Drivers'!L25,'Forecast Drivers'!L68,'Forecast Drivers'!L113)/SUM('Forecast Drivers'!$E$25,'Forecast Drivers'!$E$68,'Forecast Drivers'!$E$113))*ABS($AS$61)</f>
        <v>24193.37047686784</v>
      </c>
      <c r="BA61" s="517">
        <f>(SUM('Forecast Drivers'!M25,'Forecast Drivers'!M68,'Forecast Drivers'!M113)/SUM('Forecast Drivers'!$E$25,'Forecast Drivers'!$E$68,'Forecast Drivers'!$E$113))*ABS($AS$61)</f>
        <v>25089.683660686798</v>
      </c>
    </row>
    <row r="62" spans="4:58" x14ac:dyDescent="0.2">
      <c r="W62" s="595" t="s">
        <v>484</v>
      </c>
      <c r="X62" s="594">
        <v>182629</v>
      </c>
      <c r="Y62" s="517">
        <v>171469</v>
      </c>
      <c r="Z62" s="517">
        <v>154414</v>
      </c>
      <c r="AA62" s="592">
        <v>147402</v>
      </c>
      <c r="AH62" s="594">
        <v>-111620</v>
      </c>
      <c r="AI62" s="517">
        <v>-111635</v>
      </c>
      <c r="AJ62" s="517">
        <v>-105215</v>
      </c>
      <c r="AK62" s="592">
        <v>-108661</v>
      </c>
      <c r="AR62" s="517">
        <f t="shared" si="18"/>
        <v>71009</v>
      </c>
      <c r="AS62" s="517">
        <f t="shared" si="18"/>
        <v>59834</v>
      </c>
      <c r="AT62" s="517">
        <f t="shared" si="18"/>
        <v>49199</v>
      </c>
      <c r="AU62" s="517">
        <f t="shared" si="18"/>
        <v>38741</v>
      </c>
      <c r="AV62" s="517">
        <f>SUM('Forecast Drivers'!H25,'Forecast Drivers'!H68,'Forecast Drivers'!H113)/SUM('Forecast Drivers'!$E$25,'Forecast Drivers'!$E$68,'Forecast Drivers'!$E$113)*ABS($AS$62)</f>
        <v>48672.159081600963</v>
      </c>
      <c r="AW62" s="517">
        <f>SUM('Forecast Drivers'!I25,'Forecast Drivers'!I68,'Forecast Drivers'!I113)/SUM('Forecast Drivers'!$E$25,'Forecast Drivers'!$E$68,'Forecast Drivers'!$E$113)*ABS($AS$62)</f>
        <v>56122.083317484517</v>
      </c>
      <c r="AX62" s="517">
        <f>SUM('Forecast Drivers'!J25,'Forecast Drivers'!J68,'Forecast Drivers'!J113)/SUM('Forecast Drivers'!$E$25,'Forecast Drivers'!$E$68,'Forecast Drivers'!$E$113)*ABS($AS$62)</f>
        <v>64612.881434316485</v>
      </c>
      <c r="AY62" s="517">
        <f>SUM('Forecast Drivers'!K25,'Forecast Drivers'!K68,'Forecast Drivers'!K113)/SUM('Forecast Drivers'!$E$25,'Forecast Drivers'!$E$68,'Forecast Drivers'!$E$113)*ABS($AS$62)</f>
        <v>67219.438895056053</v>
      </c>
      <c r="AZ62" s="517">
        <f>SUM('Forecast Drivers'!L25,'Forecast Drivers'!L68,'Forecast Drivers'!L113)/SUM('Forecast Drivers'!$E$25,'Forecast Drivers'!$E$68,'Forecast Drivers'!$E$113)*ABS($AS$62)</f>
        <v>69675.882225303736</v>
      </c>
      <c r="BA62" s="517">
        <f>SUM('Forecast Drivers'!M25,'Forecast Drivers'!M68,'Forecast Drivers'!M113)/SUM('Forecast Drivers'!$E$25,'Forecast Drivers'!$E$68,'Forecast Drivers'!$E$113)*ABS($AS$62)</f>
        <v>72257.226229954453</v>
      </c>
    </row>
    <row r="63" spans="4:58" x14ac:dyDescent="0.2">
      <c r="W63" s="595" t="s">
        <v>485</v>
      </c>
      <c r="X63" s="594">
        <v>69653</v>
      </c>
      <c r="Y63" s="517">
        <v>67060</v>
      </c>
      <c r="Z63" s="517">
        <v>49345</v>
      </c>
      <c r="AA63" s="592">
        <v>49186</v>
      </c>
      <c r="AB63" s="592">
        <f>AV63-AU63+AA63</f>
        <v>49899.980430798867</v>
      </c>
      <c r="AC63" s="592">
        <f t="shared" ref="AC63:AG63" si="22">AW63-AV63+AB63</f>
        <v>50738.305461386895</v>
      </c>
      <c r="AD63" s="592">
        <f t="shared" si="22"/>
        <v>51693.757941926888</v>
      </c>
      <c r="AE63" s="592">
        <f t="shared" si="22"/>
        <v>51987.068624534761</v>
      </c>
      <c r="AF63" s="592">
        <f t="shared" si="22"/>
        <v>52263.487265149757</v>
      </c>
      <c r="AG63" s="592">
        <f t="shared" si="22"/>
        <v>52553.960728119193</v>
      </c>
      <c r="AH63" s="594">
        <v>-60531</v>
      </c>
      <c r="AI63" s="517">
        <v>-60327</v>
      </c>
      <c r="AJ63" s="517">
        <v>-44140</v>
      </c>
      <c r="AK63" s="592">
        <v>-44423</v>
      </c>
      <c r="AR63" s="517">
        <f t="shared" si="18"/>
        <v>9122</v>
      </c>
      <c r="AS63" s="517">
        <f t="shared" si="18"/>
        <v>6733</v>
      </c>
      <c r="AT63" s="517">
        <f t="shared" si="18"/>
        <v>5205</v>
      </c>
      <c r="AU63" s="517">
        <f t="shared" si="18"/>
        <v>4763</v>
      </c>
      <c r="AV63" s="517">
        <f>(SUM('Forecast Drivers'!H25,'Forecast Drivers'!H68,'Forecast Drivers'!H113)/SUM('Forecast Drivers'!$E$25,'Forecast Drivers'!$E$68,'Forecast Drivers'!$E$113))*ABS($AS$63)</f>
        <v>5476.9804307988652</v>
      </c>
      <c r="AW63" s="517">
        <f>(SUM('Forecast Drivers'!I25,'Forecast Drivers'!I68,'Forecast Drivers'!I113)/SUM('Forecast Drivers'!$E$25,'Forecast Drivers'!$E$68,'Forecast Drivers'!$E$113))*ABS($AS$63)</f>
        <v>6315.3054613868908</v>
      </c>
      <c r="AX63" s="517">
        <f>(SUM('Forecast Drivers'!J25,'Forecast Drivers'!J68,'Forecast Drivers'!J113)/SUM('Forecast Drivers'!$E$25,'Forecast Drivers'!$E$68,'Forecast Drivers'!$E$113))*ABS($AS$63)</f>
        <v>7270.7579419268795</v>
      </c>
      <c r="AY63" s="517">
        <f>(SUM('Forecast Drivers'!K25,'Forecast Drivers'!K68,'Forecast Drivers'!K113)/SUM('Forecast Drivers'!$E$25,'Forecast Drivers'!$E$68,'Forecast Drivers'!$E$113))*ABS($AS$63)</f>
        <v>7564.0686245347533</v>
      </c>
      <c r="AZ63" s="517">
        <f>(SUM('Forecast Drivers'!L25,'Forecast Drivers'!L68,'Forecast Drivers'!L113)/SUM('Forecast Drivers'!$E$25,'Forecast Drivers'!$E$68,'Forecast Drivers'!$E$113))*ABS($AS$63)</f>
        <v>7840.4872651497481</v>
      </c>
      <c r="BA63" s="517">
        <f>(SUM('Forecast Drivers'!M25,'Forecast Drivers'!M68,'Forecast Drivers'!M113)/SUM('Forecast Drivers'!$E$25,'Forecast Drivers'!$E$68,'Forecast Drivers'!$E$113))*ABS($AS$63)</f>
        <v>8130.9607281191857</v>
      </c>
    </row>
    <row r="64" spans="4:58" x14ac:dyDescent="0.2">
      <c r="W64" s="595" t="s">
        <v>486</v>
      </c>
      <c r="X64" s="594">
        <v>211322</v>
      </c>
      <c r="Y64" s="517">
        <v>234249</v>
      </c>
      <c r="Z64" s="517">
        <v>201828</v>
      </c>
      <c r="AA64" s="592">
        <v>248733</v>
      </c>
      <c r="AH64" s="594">
        <v>-128055</v>
      </c>
      <c r="AI64" s="517">
        <v>-135789</v>
      </c>
      <c r="AJ64" s="517">
        <v>-127420</v>
      </c>
      <c r="AK64" s="592">
        <v>-115758</v>
      </c>
      <c r="AR64" s="517">
        <f t="shared" si="18"/>
        <v>83267</v>
      </c>
      <c r="AS64" s="517">
        <f t="shared" si="18"/>
        <v>98460</v>
      </c>
      <c r="AT64" s="517">
        <f t="shared" si="18"/>
        <v>74408</v>
      </c>
      <c r="AU64" s="517">
        <f t="shared" si="18"/>
        <v>132975</v>
      </c>
      <c r="AV64" s="517">
        <f>AU64</f>
        <v>132975</v>
      </c>
      <c r="AW64" s="517">
        <f t="shared" ref="AW64:BA64" si="23">AV64</f>
        <v>132975</v>
      </c>
      <c r="AX64" s="517">
        <f t="shared" si="23"/>
        <v>132975</v>
      </c>
      <c r="AY64" s="517">
        <f t="shared" si="23"/>
        <v>132975</v>
      </c>
      <c r="AZ64" s="517">
        <f t="shared" si="23"/>
        <v>132975</v>
      </c>
      <c r="BA64" s="517">
        <f t="shared" si="23"/>
        <v>132975</v>
      </c>
    </row>
    <row r="65" spans="23:70" x14ac:dyDescent="0.2">
      <c r="W65" s="596" t="s">
        <v>487</v>
      </c>
      <c r="X65" s="597">
        <f>SUM(X60:X64,X56:X58)</f>
        <v>1514444</v>
      </c>
      <c r="Y65" s="598">
        <f>SUM(Y60:Y64,Y56:Y58)</f>
        <v>1222911</v>
      </c>
      <c r="Z65" s="598">
        <f>SUM(Z60:Z64,Z56:Z58)</f>
        <v>1125519</v>
      </c>
      <c r="AA65" s="599">
        <f>SUM(AA60:AA64,AA56:AA58)</f>
        <v>1257116</v>
      </c>
      <c r="AH65" s="597">
        <f>SUM(AH60:AH64,AH56:AH58)</f>
        <v>-533579</v>
      </c>
      <c r="AI65" s="598">
        <f>SUM(AI60:AI64,AI56:AI58)</f>
        <v>-536034</v>
      </c>
      <c r="AJ65" s="598">
        <f>SUM(AJ60:AJ64,AJ56:AJ58)</f>
        <v>-492313</v>
      </c>
      <c r="AK65" s="599">
        <f>SUM(AK60:AK64,AK56:AK58)</f>
        <v>-484014</v>
      </c>
      <c r="AR65" s="597">
        <f t="shared" ref="AR65:BA65" si="24">SUM(AR56:AR59,AR60:AR63)</f>
        <v>9870098</v>
      </c>
      <c r="AS65" s="597">
        <f t="shared" si="24"/>
        <v>9951460</v>
      </c>
      <c r="AT65" s="597">
        <f t="shared" si="24"/>
        <v>8249542</v>
      </c>
      <c r="AU65" s="597">
        <f t="shared" si="24"/>
        <v>7202143</v>
      </c>
      <c r="AV65" s="597">
        <f t="shared" si="24"/>
        <v>7214833.2286758851</v>
      </c>
      <c r="AW65" s="597">
        <f t="shared" si="24"/>
        <v>7226357.863286199</v>
      </c>
      <c r="AX65" s="597">
        <f t="shared" si="24"/>
        <v>7239492.6741578421</v>
      </c>
      <c r="AY65" s="597">
        <f t="shared" si="24"/>
        <v>7243524.8792346558</v>
      </c>
      <c r="AZ65" s="597">
        <f t="shared" si="24"/>
        <v>7247324.8657748802</v>
      </c>
      <c r="BA65" s="597">
        <f t="shared" si="24"/>
        <v>7251318.0669827284</v>
      </c>
    </row>
    <row r="66" spans="23:70" x14ac:dyDescent="0.2">
      <c r="W66" s="595"/>
      <c r="X66" s="594"/>
      <c r="Y66" s="517"/>
      <c r="Z66" s="517"/>
      <c r="AA66" s="592"/>
      <c r="AH66" s="594"/>
      <c r="AI66" s="517"/>
      <c r="AJ66" s="517"/>
      <c r="AK66" s="592"/>
      <c r="AR66" s="517"/>
      <c r="AS66" s="517"/>
      <c r="AT66" s="517"/>
      <c r="AU66" s="517"/>
      <c r="AV66" s="517"/>
      <c r="AW66" s="517"/>
      <c r="AX66" s="517"/>
      <c r="AY66" s="517"/>
      <c r="AZ66" s="517"/>
      <c r="BA66" s="517"/>
    </row>
    <row r="67" spans="23:70" x14ac:dyDescent="0.2">
      <c r="W67" s="613"/>
      <c r="X67" s="614"/>
      <c r="Y67" s="615"/>
      <c r="Z67" s="615"/>
      <c r="AA67" s="616"/>
      <c r="AB67" s="617"/>
      <c r="AC67" s="617"/>
      <c r="AD67" s="617"/>
      <c r="AE67" s="617"/>
      <c r="AF67" s="617"/>
      <c r="AG67" s="617"/>
      <c r="AH67" s="594"/>
      <c r="AI67" s="517"/>
      <c r="AJ67" s="517"/>
      <c r="AK67" s="592"/>
      <c r="AR67" s="517">
        <f t="shared" ref="AR67:BA67" si="25">AR59+AR68</f>
        <v>11520944</v>
      </c>
      <c r="AS67" s="517">
        <f t="shared" si="25"/>
        <v>12232741</v>
      </c>
      <c r="AT67" s="517">
        <f t="shared" si="25"/>
        <v>10097063</v>
      </c>
      <c r="AU67" s="517">
        <f t="shared" si="25"/>
        <v>8716765</v>
      </c>
      <c r="AV67" s="517">
        <f t="shared" si="25"/>
        <v>8751369.6184739117</v>
      </c>
      <c r="AW67" s="517">
        <f t="shared" si="25"/>
        <v>9446033.6997402161</v>
      </c>
      <c r="AX67" s="517">
        <f t="shared" si="25"/>
        <v>9464609.1100875717</v>
      </c>
      <c r="AY67" s="517">
        <f t="shared" si="25"/>
        <v>9732091.6265063025</v>
      </c>
      <c r="AZ67" s="517">
        <f t="shared" si="25"/>
        <v>9965898.9125919677</v>
      </c>
      <c r="BA67" s="517">
        <f t="shared" si="25"/>
        <v>10410307.885424666</v>
      </c>
    </row>
    <row r="68" spans="23:70" x14ac:dyDescent="0.2">
      <c r="W68" s="613" t="s">
        <v>488</v>
      </c>
      <c r="X68" s="614">
        <v>4987953</v>
      </c>
      <c r="Y68" s="615">
        <v>5693553</v>
      </c>
      <c r="Z68" s="615">
        <v>5614366</v>
      </c>
      <c r="AA68" s="616">
        <v>5454167</v>
      </c>
      <c r="AB68" s="616">
        <f t="shared" ref="AB68:AG68" si="26">AA68+ABS(H7)*10^3</f>
        <v>5828167</v>
      </c>
      <c r="AC68" s="616">
        <f t="shared" si="26"/>
        <v>6926167</v>
      </c>
      <c r="AD68" s="616">
        <f t="shared" si="26"/>
        <v>7374167</v>
      </c>
      <c r="AE68" s="616">
        <f t="shared" si="26"/>
        <v>8114167</v>
      </c>
      <c r="AF68" s="616">
        <f t="shared" si="26"/>
        <v>8864167</v>
      </c>
      <c r="AG68" s="616">
        <f t="shared" si="26"/>
        <v>9884167</v>
      </c>
      <c r="AH68" s="594">
        <v>-2439509</v>
      </c>
      <c r="AI68" s="517">
        <v>-2823855</v>
      </c>
      <c r="AJ68" s="517">
        <v>-3208047</v>
      </c>
      <c r="AK68" s="592">
        <v>-3299418</v>
      </c>
      <c r="AL68" s="592">
        <f>-317616/$AA$68*AB68+AK68</f>
        <v>-3638813.3815260883</v>
      </c>
      <c r="AM68" s="592">
        <f t="shared" ref="AM68:AQ68" si="27">-317616/$AA$68*AC68+AL68</f>
        <v>-4042149.3002597829</v>
      </c>
      <c r="AN68" s="592">
        <f t="shared" si="27"/>
        <v>-4471573.8899124283</v>
      </c>
      <c r="AO68" s="592">
        <f t="shared" si="27"/>
        <v>-4944091.3734936975</v>
      </c>
      <c r="AP68" s="592">
        <f t="shared" si="27"/>
        <v>-5460284.0874080313</v>
      </c>
      <c r="AQ68" s="592">
        <f t="shared" si="27"/>
        <v>-6035875.114575333</v>
      </c>
      <c r="AR68" s="658">
        <f>X68+AH68</f>
        <v>2548444</v>
      </c>
      <c r="AS68" s="658">
        <f t="shared" ref="AS68:AZ68" si="28">Y68+AI68</f>
        <v>2869698</v>
      </c>
      <c r="AT68" s="658">
        <f t="shared" si="28"/>
        <v>2406319</v>
      </c>
      <c r="AU68" s="658">
        <f t="shared" si="28"/>
        <v>2154749</v>
      </c>
      <c r="AV68" s="658">
        <f t="shared" si="28"/>
        <v>2189353.6184739117</v>
      </c>
      <c r="AW68" s="658">
        <f t="shared" si="28"/>
        <v>2884017.6997402171</v>
      </c>
      <c r="AX68" s="658">
        <f t="shared" si="28"/>
        <v>2902593.1100875717</v>
      </c>
      <c r="AY68" s="658">
        <f t="shared" si="28"/>
        <v>3170075.6265063025</v>
      </c>
      <c r="AZ68" s="658">
        <f t="shared" si="28"/>
        <v>3403882.9125919687</v>
      </c>
      <c r="BA68" s="658">
        <f>AG68+AQ68</f>
        <v>3848291.885424667</v>
      </c>
    </row>
    <row r="69" spans="23:70" x14ac:dyDescent="0.2">
      <c r="W69" s="613"/>
      <c r="X69" s="614"/>
      <c r="Y69" s="615"/>
      <c r="Z69" s="615"/>
      <c r="AA69" s="616"/>
      <c r="AB69" s="614"/>
      <c r="AC69" s="614"/>
      <c r="AD69" s="614"/>
      <c r="AE69" s="614"/>
      <c r="AF69" s="614"/>
      <c r="AG69" s="614"/>
      <c r="AH69" s="594"/>
      <c r="AI69" s="517"/>
      <c r="AJ69" s="517"/>
      <c r="AK69" s="592"/>
      <c r="AL69" s="592"/>
      <c r="AM69" s="592"/>
      <c r="AN69" s="592"/>
      <c r="AO69" s="592"/>
      <c r="AP69" s="592"/>
      <c r="AQ69" s="592"/>
      <c r="AR69" s="517"/>
      <c r="AS69" s="517"/>
      <c r="AT69" s="517"/>
      <c r="AU69" s="517"/>
      <c r="AV69" s="715">
        <f>SUM('Forecast Drivers'!H25,'Forecast Drivers'!H68,'Forecast Drivers'!H113)/SUM('Forecast Drivers'!$E$25,'Forecast Drivers'!$E$68,'Forecast Drivers'!$E$113)*$AS$67</f>
        <v>9950762.3751716837</v>
      </c>
      <c r="AW69" s="715">
        <f>SUM('Forecast Drivers'!I25,'Forecast Drivers'!I68,'Forecast Drivers'!I113)/SUM('Forecast Drivers'!$E$25,'Forecast Drivers'!$E$68,'Forecast Drivers'!$E$113)*$AS$67</f>
        <v>11473859.504683103</v>
      </c>
      <c r="AX69" s="715">
        <f>SUM('Forecast Drivers'!J25,'Forecast Drivers'!J68,'Forecast Drivers'!J113)/SUM('Forecast Drivers'!$E$25,'Forecast Drivers'!$E$68,'Forecast Drivers'!$E$113)*$AS$67</f>
        <v>13209757.727206975</v>
      </c>
      <c r="AY69" s="715">
        <f>SUM('Forecast Drivers'!K25,'Forecast Drivers'!K68,'Forecast Drivers'!K113)/SUM('Forecast Drivers'!$E$25,'Forecast Drivers'!$E$68,'Forecast Drivers'!$E$113)*$AS$67</f>
        <v>13742654.446778536</v>
      </c>
      <c r="AZ69" s="715">
        <f>SUM('Forecast Drivers'!L25,'Forecast Drivers'!L68,'Forecast Drivers'!L113)/SUM('Forecast Drivers'!$E$25,'Forecast Drivers'!$E$68,'Forecast Drivers'!$E$113)*$AS$67</f>
        <v>14244861.135953542</v>
      </c>
      <c r="BA69" s="715">
        <f>SUM('Forecast Drivers'!M25,'Forecast Drivers'!M68,'Forecast Drivers'!M113)/SUM('Forecast Drivers'!$E$25,'Forecast Drivers'!$E$68,'Forecast Drivers'!$E$113)*$AS$67</f>
        <v>14772603.099398993</v>
      </c>
    </row>
    <row r="70" spans="23:70" x14ac:dyDescent="0.2">
      <c r="W70" s="618" t="s">
        <v>489</v>
      </c>
      <c r="X70" s="619"/>
      <c r="Y70" s="620"/>
      <c r="Z70" s="620"/>
      <c r="AA70" s="621"/>
      <c r="AB70" s="621"/>
      <c r="AC70" s="621"/>
      <c r="AD70" s="621"/>
      <c r="AE70" s="621"/>
      <c r="AF70" s="621"/>
      <c r="AG70" s="621"/>
      <c r="AH70" s="597"/>
      <c r="AI70" s="598"/>
      <c r="AJ70" s="598"/>
      <c r="AK70" s="599"/>
      <c r="AR70" s="598">
        <f t="shared" ref="AR70:AZ70" si="29">AR65+AR68</f>
        <v>12418542</v>
      </c>
      <c r="AS70" s="598">
        <f t="shared" si="29"/>
        <v>12821158</v>
      </c>
      <c r="AT70" s="598">
        <f t="shared" si="29"/>
        <v>10655861</v>
      </c>
      <c r="AU70" s="598">
        <f t="shared" si="29"/>
        <v>9356892</v>
      </c>
      <c r="AV70" s="598">
        <f>AV65+AV68</f>
        <v>9404186.8471497968</v>
      </c>
      <c r="AW70" s="598">
        <f t="shared" si="29"/>
        <v>10110375.563026417</v>
      </c>
      <c r="AX70" s="598">
        <f t="shared" si="29"/>
        <v>10142085.784245413</v>
      </c>
      <c r="AY70" s="598">
        <f t="shared" si="29"/>
        <v>10413600.505740959</v>
      </c>
      <c r="AZ70" s="598">
        <f t="shared" si="29"/>
        <v>10651207.778366849</v>
      </c>
      <c r="BA70" s="598">
        <f>BA65+BA68</f>
        <v>11099609.952407395</v>
      </c>
    </row>
    <row r="71" spans="23:70" x14ac:dyDescent="0.2">
      <c r="W71" s="613"/>
      <c r="X71" s="614"/>
      <c r="Y71" s="615"/>
      <c r="Z71" s="615"/>
      <c r="AA71" s="616"/>
      <c r="AB71" s="617"/>
      <c r="AC71" s="617"/>
      <c r="AD71" s="617"/>
      <c r="AE71" s="617"/>
      <c r="AF71" s="617"/>
      <c r="AG71" s="617"/>
      <c r="AH71" s="594"/>
      <c r="AI71" s="517"/>
      <c r="AJ71" s="517"/>
      <c r="AK71" s="592"/>
      <c r="AR71" s="517"/>
      <c r="AS71" s="517"/>
      <c r="AT71" s="517"/>
      <c r="AU71" s="517"/>
      <c r="AV71" s="517">
        <f t="shared" ref="AV71:BA71" si="30">AV70-AU70</f>
        <v>47294.847149796784</v>
      </c>
      <c r="AW71" s="517">
        <f t="shared" si="30"/>
        <v>706188.71587662026</v>
      </c>
      <c r="AX71" s="517">
        <f t="shared" si="30"/>
        <v>31710.22121899575</v>
      </c>
      <c r="AY71" s="517">
        <f t="shared" si="30"/>
        <v>271514.7214955464</v>
      </c>
      <c r="AZ71" s="517">
        <f t="shared" si="30"/>
        <v>237607.27262588963</v>
      </c>
      <c r="BA71" s="517">
        <f t="shared" si="30"/>
        <v>448402.17404054664</v>
      </c>
    </row>
    <row r="72" spans="23:70" x14ac:dyDescent="0.2">
      <c r="W72" s="602" t="s">
        <v>275</v>
      </c>
      <c r="X72" s="597">
        <f>X70+X65</f>
        <v>1514444</v>
      </c>
      <c r="Y72" s="598">
        <f>Y70+Y65</f>
        <v>1222911</v>
      </c>
      <c r="Z72" s="598">
        <f>Z70+Z65</f>
        <v>1125519</v>
      </c>
      <c r="AA72" s="599">
        <f>AA70+AA65</f>
        <v>1257116</v>
      </c>
      <c r="AH72" s="597">
        <f>AH70+AH65</f>
        <v>-533579</v>
      </c>
      <c r="AI72" s="598">
        <f>AI70+AI65</f>
        <v>-536034</v>
      </c>
      <c r="AJ72" s="598">
        <f>AJ70+AJ65</f>
        <v>-492313</v>
      </c>
      <c r="AK72" s="599">
        <f>AK70+AK65</f>
        <v>-484014</v>
      </c>
      <c r="AR72" s="598"/>
      <c r="AS72" s="598"/>
      <c r="AT72" s="598"/>
      <c r="AU72" s="598"/>
      <c r="AV72" s="598"/>
      <c r="AW72" s="598"/>
      <c r="AX72" s="598"/>
      <c r="AY72" s="598"/>
      <c r="AZ72" s="598"/>
      <c r="BA72" s="598"/>
      <c r="BP72" s="531">
        <v>88</v>
      </c>
      <c r="BQ72" s="531" t="s">
        <v>490</v>
      </c>
    </row>
    <row r="73" spans="23:70" x14ac:dyDescent="0.2">
      <c r="BP73" s="531" t="s">
        <v>491</v>
      </c>
      <c r="BQ73" s="531">
        <v>13255000</v>
      </c>
    </row>
    <row r="74" spans="23:70" x14ac:dyDescent="0.2">
      <c r="W74" s="604" t="s">
        <v>492</v>
      </c>
      <c r="X74" s="517"/>
      <c r="Y74" s="517"/>
      <c r="Z74" s="517"/>
      <c r="AA74" s="517"/>
      <c r="AB74" s="517"/>
      <c r="AC74" s="517"/>
      <c r="AD74" s="517"/>
      <c r="AE74" s="517"/>
      <c r="AF74" s="517"/>
      <c r="AG74" s="517"/>
      <c r="AH74" s="517"/>
      <c r="AI74" s="517"/>
      <c r="AJ74" s="517"/>
      <c r="AK74" s="517"/>
      <c r="AL74" s="517"/>
      <c r="AM74" s="517"/>
      <c r="AN74" s="517"/>
      <c r="AO74" s="517"/>
      <c r="AP74" s="517"/>
      <c r="AR74" s="531" t="e">
        <f>#REF!/#REF!</f>
        <v>#REF!</v>
      </c>
      <c r="AS74" s="531" t="e">
        <f>#REF!/#REF!</f>
        <v>#REF!</v>
      </c>
      <c r="AT74" s="531" t="e">
        <f>#REF!/#REF!</f>
        <v>#REF!</v>
      </c>
      <c r="AU74" s="604" t="s">
        <v>492</v>
      </c>
      <c r="BP74" s="531">
        <v>2023</v>
      </c>
      <c r="BQ74" s="531">
        <v>600000</v>
      </c>
      <c r="BR74" s="531" t="s">
        <v>493</v>
      </c>
    </row>
    <row r="75" spans="23:70" x14ac:dyDescent="0.2">
      <c r="W75" s="595" t="s">
        <v>478</v>
      </c>
      <c r="X75" s="517"/>
      <c r="Y75" s="517"/>
      <c r="Z75" s="517"/>
      <c r="AA75" s="517"/>
      <c r="AB75" s="517"/>
      <c r="AC75" s="517"/>
      <c r="AD75" s="517"/>
      <c r="AE75" s="517"/>
      <c r="AF75" s="517"/>
      <c r="AG75" s="517"/>
      <c r="AH75" s="517"/>
      <c r="AJ75" s="517"/>
      <c r="AK75" s="517"/>
      <c r="AL75" s="517"/>
      <c r="AM75" s="517"/>
      <c r="AN75" s="517"/>
      <c r="AO75" s="517"/>
      <c r="AP75" s="517"/>
      <c r="AR75" s="517">
        <f>0</f>
        <v>0</v>
      </c>
      <c r="AS75" s="517">
        <f>0</f>
        <v>0</v>
      </c>
      <c r="AT75" s="517">
        <f>0</f>
        <v>0</v>
      </c>
      <c r="AU75" s="595" t="s">
        <v>478</v>
      </c>
      <c r="AV75" s="517">
        <f>AV56-AU56</f>
        <v>0</v>
      </c>
      <c r="AW75" s="517">
        <f>AW56-AV56</f>
        <v>0</v>
      </c>
      <c r="AX75" s="517">
        <f>AX56-AW56</f>
        <v>0</v>
      </c>
      <c r="AY75" s="517">
        <v>0</v>
      </c>
      <c r="AZ75" s="517">
        <f>AZ56-AY56</f>
        <v>0</v>
      </c>
      <c r="BA75" s="517">
        <f>BA56-AZ56</f>
        <v>0</v>
      </c>
      <c r="BC75">
        <v>-395.93599999999998</v>
      </c>
      <c r="BP75" s="531" t="s">
        <v>494</v>
      </c>
      <c r="BQ75" s="531" t="s">
        <v>495</v>
      </c>
    </row>
    <row r="76" spans="23:70" x14ac:dyDescent="0.2">
      <c r="W76" s="595" t="s">
        <v>479</v>
      </c>
      <c r="X76" s="517"/>
      <c r="Y76" s="517"/>
      <c r="Z76" s="517"/>
      <c r="AA76" s="517"/>
      <c r="AB76" s="517"/>
      <c r="AC76" s="517"/>
      <c r="AD76" s="517"/>
      <c r="AE76" s="517"/>
      <c r="AF76" s="517"/>
      <c r="AG76" s="517"/>
      <c r="AH76" s="517"/>
      <c r="AI76" s="517"/>
      <c r="AJ76" s="517"/>
      <c r="AK76" s="517"/>
      <c r="AL76" s="517"/>
      <c r="AM76" s="517"/>
      <c r="AN76" s="517"/>
      <c r="AO76" s="517"/>
      <c r="AP76" s="517"/>
      <c r="AR76" s="517">
        <f>0</f>
        <v>0</v>
      </c>
      <c r="AS76" s="517">
        <f>0</f>
        <v>0</v>
      </c>
      <c r="AT76" s="517">
        <f>0</f>
        <v>0</v>
      </c>
      <c r="AU76" s="595" t="s">
        <v>479</v>
      </c>
      <c r="AV76" s="517">
        <f>0</f>
        <v>0</v>
      </c>
      <c r="AW76" s="517">
        <f>0</f>
        <v>0</v>
      </c>
      <c r="AX76" s="517">
        <f>0</f>
        <v>0</v>
      </c>
      <c r="AY76" s="517">
        <f>0</f>
        <v>0</v>
      </c>
      <c r="AZ76" s="517">
        <f>0</f>
        <v>0</v>
      </c>
      <c r="BA76" s="517">
        <f>0</f>
        <v>0</v>
      </c>
      <c r="BP76" s="531">
        <v>2022</v>
      </c>
      <c r="BQ76" s="531" t="s">
        <v>496</v>
      </c>
    </row>
    <row r="77" spans="23:70" x14ac:dyDescent="0.2">
      <c r="W77" s="595" t="s">
        <v>480</v>
      </c>
      <c r="X77" s="517"/>
      <c r="Y77" s="517"/>
      <c r="Z77" s="517"/>
      <c r="AA77" s="517"/>
      <c r="AB77" s="517"/>
      <c r="AC77" s="517"/>
      <c r="AD77" s="517"/>
      <c r="AE77" s="517"/>
      <c r="AF77" s="517"/>
      <c r="AG77" s="517"/>
      <c r="AH77" s="517"/>
      <c r="AI77" s="517"/>
      <c r="AJ77" s="517"/>
      <c r="AK77" s="517"/>
      <c r="AL77" s="517"/>
      <c r="AM77" s="517"/>
      <c r="AN77" s="517"/>
      <c r="AO77" s="517"/>
      <c r="AP77" s="517"/>
      <c r="AR77" s="517">
        <f>4074</f>
        <v>4074</v>
      </c>
      <c r="AS77" s="517">
        <f>4074</f>
        <v>4074</v>
      </c>
      <c r="AT77" s="517">
        <f>4074</f>
        <v>4074</v>
      </c>
      <c r="AU77" s="595" t="s">
        <v>480</v>
      </c>
      <c r="AV77" s="517">
        <f>4074</f>
        <v>4074</v>
      </c>
      <c r="AW77" s="517">
        <f>4074</f>
        <v>4074</v>
      </c>
      <c r="AX77" s="517">
        <f>4074</f>
        <v>4074</v>
      </c>
      <c r="AY77" s="517">
        <f>4074</f>
        <v>4074</v>
      </c>
      <c r="AZ77" s="517">
        <f>4074</f>
        <v>4074</v>
      </c>
      <c r="BA77" s="517">
        <f>4074</f>
        <v>4074</v>
      </c>
      <c r="BP77" s="531" t="s">
        <v>494</v>
      </c>
      <c r="BQ77" s="531" t="s">
        <v>497</v>
      </c>
    </row>
    <row r="78" spans="23:70" x14ac:dyDescent="0.2">
      <c r="W78" s="595" t="s">
        <v>481</v>
      </c>
      <c r="X78" s="517"/>
      <c r="Y78" s="517"/>
      <c r="Z78" s="517"/>
      <c r="AA78" s="517"/>
      <c r="AB78" s="517"/>
      <c r="AC78" s="517"/>
      <c r="AD78" s="517"/>
      <c r="AE78" s="517"/>
      <c r="AF78" s="517"/>
      <c r="AG78" s="517"/>
      <c r="AH78" s="517"/>
      <c r="AP78" s="517"/>
      <c r="AS78" s="517"/>
      <c r="AT78" s="517"/>
      <c r="AU78" s="595" t="s">
        <v>481</v>
      </c>
      <c r="AV78" s="517"/>
      <c r="AW78" s="517"/>
      <c r="AX78" s="517"/>
      <c r="AY78" s="517"/>
      <c r="AZ78" s="517"/>
      <c r="BA78" s="517"/>
    </row>
    <row r="79" spans="23:70" x14ac:dyDescent="0.2">
      <c r="W79" s="600" t="s">
        <v>498</v>
      </c>
      <c r="X79" s="517"/>
      <c r="Y79" s="517"/>
      <c r="Z79" s="517"/>
      <c r="AA79" s="517"/>
      <c r="AB79" s="517"/>
      <c r="AC79" s="517"/>
      <c r="AD79" s="517"/>
      <c r="AE79" s="517"/>
      <c r="AF79" s="517"/>
      <c r="AG79" s="517"/>
      <c r="AH79" s="517"/>
      <c r="AI79" s="517"/>
      <c r="AJ79" s="517"/>
      <c r="AK79" s="517"/>
      <c r="AL79" s="517"/>
      <c r="AM79" s="517"/>
      <c r="AN79" s="517"/>
      <c r="AO79" s="517"/>
      <c r="AP79" s="517"/>
      <c r="AR79" s="517"/>
      <c r="AS79" s="517"/>
      <c r="AT79" s="517"/>
      <c r="AU79" s="600" t="s">
        <v>498</v>
      </c>
      <c r="AV79" s="517">
        <f>620349</f>
        <v>620349</v>
      </c>
      <c r="AW79" s="517">
        <f t="shared" ref="AW79" si="31">620349</f>
        <v>620349</v>
      </c>
      <c r="AX79" s="517">
        <f>AW79+(AX59-AW59)*(1+$AV$79/$AA$59)*($AV$79/$AA$59)</f>
        <v>620349</v>
      </c>
      <c r="AY79" s="517">
        <f>AX79+(AY59-AX59)*(1+$AV$79/$AA$59)*($AV$79/$AA$59)</f>
        <v>620349</v>
      </c>
      <c r="AZ79" s="517">
        <f>AY79+(AZ59-AY59)*(1+$AV$79/$AA$59)*($AV$79/$AA$59)</f>
        <v>620349</v>
      </c>
      <c r="BA79" s="517">
        <f>AZ79+(BA59-AZ59)*(1+$AV$79/$AA$59)*($AV$79/$AA$59)</f>
        <v>620349</v>
      </c>
    </row>
    <row r="80" spans="23:70" x14ac:dyDescent="0.2">
      <c r="W80" s="600" t="s">
        <v>499</v>
      </c>
      <c r="X80" s="517"/>
      <c r="Y80" s="517"/>
      <c r="Z80" s="517"/>
      <c r="AA80" s="517"/>
      <c r="AB80" s="517"/>
      <c r="AC80" s="517"/>
      <c r="AD80" s="517"/>
      <c r="AE80" s="517"/>
      <c r="AF80" s="517"/>
      <c r="AG80" s="517"/>
      <c r="AH80" s="517"/>
      <c r="AI80" s="517"/>
      <c r="AJ80" s="517"/>
      <c r="AK80" s="517"/>
      <c r="AL80" s="517"/>
      <c r="AM80" s="517"/>
      <c r="AN80" s="517"/>
      <c r="AO80" s="517"/>
      <c r="AP80" s="517"/>
      <c r="AR80" s="517"/>
      <c r="AS80" s="517"/>
      <c r="AT80" s="517"/>
      <c r="AU80" s="600"/>
      <c r="AV80" s="517"/>
      <c r="AW80" s="517"/>
      <c r="AX80" s="517"/>
      <c r="AY80" s="517"/>
      <c r="AZ80" s="517"/>
      <c r="BA80" s="517"/>
    </row>
    <row r="81" spans="23:53" x14ac:dyDescent="0.2">
      <c r="W81" s="595" t="s">
        <v>482</v>
      </c>
      <c r="X81" s="517"/>
      <c r="Y81" s="517"/>
      <c r="Z81" s="517"/>
      <c r="AA81" s="517"/>
      <c r="AB81" s="517"/>
      <c r="AC81" s="517"/>
      <c r="AD81" s="517"/>
      <c r="AE81" s="517"/>
      <c r="AF81" s="517"/>
      <c r="AG81" s="517"/>
      <c r="AH81" s="517"/>
      <c r="AI81" s="517"/>
      <c r="AJ81" s="517"/>
      <c r="AK81" s="517"/>
      <c r="AL81" s="517"/>
      <c r="AM81" s="517"/>
      <c r="AN81" s="517"/>
      <c r="AO81" s="517"/>
      <c r="AP81" s="517"/>
      <c r="AR81" s="517"/>
      <c r="AS81" s="517"/>
      <c r="AT81" s="517"/>
      <c r="AU81" s="595" t="s">
        <v>482</v>
      </c>
      <c r="AV81" s="517">
        <f>$AH$60-$AI$60+ABS($AH$60-$AI$60)/$Y$60*(1+ABS($AH$60-$AI$60)/$Y$60)*(AV60-AU60)</f>
        <v>829.09021829508504</v>
      </c>
      <c r="AW81" s="517">
        <f>$AH$60-$AI$60+ABS($AH$60-$AI$60)/$Y$60*(1+ABS($AH$60-$AI$60)/$Y$60)*(AW60-AV60)+AV81</f>
        <v>1626.5327300063059</v>
      </c>
      <c r="AX81" s="517">
        <f t="shared" ref="AX81:BA81" si="32">$AH$60-$AI$60+ABS($AH$60-$AI$60)/$Y$60*(1+ABS($AH$60-$AI$60)/$Y$60)*(AX60-AW60)+AW81</f>
        <v>2426.1328082359928</v>
      </c>
      <c r="AY81" s="517">
        <f t="shared" si="32"/>
        <v>3213.5357885669287</v>
      </c>
      <c r="AZ81" s="517">
        <f t="shared" si="32"/>
        <v>4000.6276061068424</v>
      </c>
      <c r="BA81" s="517">
        <f t="shared" si="32"/>
        <v>4787.9783229410496</v>
      </c>
    </row>
    <row r="82" spans="23:53" x14ac:dyDescent="0.2">
      <c r="W82" s="595" t="s">
        <v>483</v>
      </c>
      <c r="X82" s="517"/>
      <c r="Y82" s="517"/>
      <c r="Z82" s="517"/>
      <c r="AA82" s="517"/>
      <c r="AB82" s="517"/>
      <c r="AC82" s="517"/>
      <c r="AD82" s="517"/>
      <c r="AE82" s="517"/>
      <c r="AF82" s="517"/>
      <c r="AG82" s="517"/>
      <c r="AH82" s="517"/>
      <c r="AI82" s="517"/>
      <c r="AJ82" s="517"/>
      <c r="AK82" s="517"/>
      <c r="AL82" s="517"/>
      <c r="AM82" s="517"/>
      <c r="AN82" s="517"/>
      <c r="AO82" s="517"/>
      <c r="AP82" s="517"/>
      <c r="AR82" s="517"/>
      <c r="AS82" s="517"/>
      <c r="AT82" s="517"/>
      <c r="AU82" s="595" t="s">
        <v>483</v>
      </c>
      <c r="AV82" s="517">
        <f>4345/$AA$61*(1+4345/$AA$61)*(AV61-AU61)+4345</f>
        <v>4346.9570518081864</v>
      </c>
      <c r="AW82" s="517">
        <f>4345/$AA$61*(1+4345/$AA$61)*(AW61-AV61)+AV82</f>
        <v>4425.685464526603</v>
      </c>
      <c r="AX82" s="517">
        <f t="shared" ref="AX82:BA82" si="33">4345/$AA$61*(1+4345/$AA$61)*(AX61-AW61)+AW82</f>
        <v>4515.4134989716968</v>
      </c>
      <c r="AY82" s="517">
        <f t="shared" si="33"/>
        <v>4542.958763198003</v>
      </c>
      <c r="AZ82" s="517">
        <f t="shared" si="33"/>
        <v>4568.9176693827994</v>
      </c>
      <c r="BA82" s="517">
        <f t="shared" si="33"/>
        <v>4596.1964858823676</v>
      </c>
    </row>
    <row r="83" spans="23:53" x14ac:dyDescent="0.2">
      <c r="W83" s="595" t="s">
        <v>484</v>
      </c>
      <c r="X83" s="517"/>
      <c r="Y83" s="517"/>
      <c r="Z83" s="517"/>
      <c r="AA83" s="517"/>
      <c r="AB83" s="517"/>
      <c r="AC83" s="517"/>
      <c r="AD83" s="517"/>
      <c r="AE83" s="517"/>
      <c r="AF83" s="517"/>
      <c r="AG83" s="517"/>
      <c r="AH83" s="517"/>
      <c r="AI83" s="517"/>
      <c r="AJ83" s="517"/>
      <c r="AK83" s="517"/>
      <c r="AL83" s="517"/>
      <c r="AM83" s="517"/>
      <c r="AN83" s="517"/>
      <c r="AO83" s="517"/>
      <c r="AP83" s="517"/>
      <c r="AR83" s="517"/>
      <c r="AS83" s="517"/>
      <c r="AT83" s="517"/>
      <c r="AU83" s="595" t="s">
        <v>484</v>
      </c>
      <c r="AV83" s="517">
        <v>8304</v>
      </c>
      <c r="AW83" s="517">
        <v>8304</v>
      </c>
      <c r="AX83" s="517">
        <v>8304</v>
      </c>
      <c r="AY83" s="517">
        <v>8304</v>
      </c>
      <c r="AZ83" s="517">
        <v>8304</v>
      </c>
      <c r="BA83" s="517">
        <v>8304</v>
      </c>
    </row>
    <row r="84" spans="23:53" x14ac:dyDescent="0.2">
      <c r="W84" s="595" t="s">
        <v>485</v>
      </c>
      <c r="X84" s="517"/>
      <c r="Y84" s="517"/>
      <c r="Z84" s="517"/>
      <c r="AA84" s="517"/>
      <c r="AB84" s="517"/>
      <c r="AC84" s="517"/>
      <c r="AD84" s="517"/>
      <c r="AE84" s="517"/>
      <c r="AF84" s="517"/>
      <c r="AG84" s="517"/>
      <c r="AH84" s="517"/>
      <c r="AI84" s="517"/>
      <c r="AJ84" s="517"/>
      <c r="AK84" s="517"/>
      <c r="AL84" s="517"/>
      <c r="AM84" s="517"/>
      <c r="AN84" s="517"/>
      <c r="AO84" s="517"/>
      <c r="AP84" s="517"/>
      <c r="AR84" s="517"/>
      <c r="AS84" s="517"/>
      <c r="AT84" s="517"/>
      <c r="AU84" s="595" t="s">
        <v>485</v>
      </c>
      <c r="AV84" s="517">
        <f>61/$AA$63*(1+61/$AA$63)*(AV63-AU63)+61</f>
        <v>61.886569756567532</v>
      </c>
      <c r="AW84" s="517">
        <f>61/$AA$63*(1+61/$AA$63)*(AW63-AV63)+AV84</f>
        <v>62.927541730352999</v>
      </c>
      <c r="AX84" s="517">
        <f t="shared" ref="AX84:BA84" si="34">61/$AA$63*(1+61/$AA$63)*(AX63-AW63)+AW84</f>
        <v>64.113954181652815</v>
      </c>
      <c r="AY84" s="517">
        <f t="shared" si="34"/>
        <v>64.478166377479198</v>
      </c>
      <c r="AZ84" s="517">
        <f t="shared" si="34"/>
        <v>64.821403245535322</v>
      </c>
      <c r="BA84" s="517">
        <f t="shared" si="34"/>
        <v>65.182092385244658</v>
      </c>
    </row>
    <row r="85" spans="23:53" x14ac:dyDescent="0.2">
      <c r="W85" s="595" t="s">
        <v>486</v>
      </c>
      <c r="X85" s="517"/>
      <c r="Y85" s="517"/>
      <c r="Z85" s="517"/>
      <c r="AA85" s="517"/>
      <c r="AB85" s="517"/>
      <c r="AC85" s="517"/>
      <c r="AD85" s="517"/>
      <c r="AE85" s="517"/>
      <c r="AF85" s="517"/>
      <c r="AG85" s="517"/>
      <c r="AH85" s="517"/>
      <c r="AI85" s="517"/>
      <c r="AJ85" s="517"/>
      <c r="AK85" s="517"/>
      <c r="AL85" s="517"/>
      <c r="AM85" s="517"/>
      <c r="AN85" s="517"/>
      <c r="AO85" s="517"/>
      <c r="AP85" s="517"/>
      <c r="AR85" s="517"/>
      <c r="AS85" s="517"/>
      <c r="AT85" s="517"/>
      <c r="AU85" s="595" t="s">
        <v>486</v>
      </c>
      <c r="AV85" s="517">
        <v>11649</v>
      </c>
      <c r="AW85" s="517">
        <v>11649</v>
      </c>
      <c r="AX85" s="517">
        <v>11649</v>
      </c>
      <c r="AY85" s="517">
        <v>11649</v>
      </c>
      <c r="AZ85" s="517">
        <v>11649</v>
      </c>
      <c r="BA85" s="517">
        <v>11649</v>
      </c>
    </row>
    <row r="86" spans="23:53" x14ac:dyDescent="0.2">
      <c r="W86" s="596" t="s">
        <v>487</v>
      </c>
      <c r="X86" s="517"/>
      <c r="Y86" s="517"/>
      <c r="Z86" s="517"/>
      <c r="AA86" s="517"/>
      <c r="AB86" s="517"/>
      <c r="AC86" s="517"/>
      <c r="AD86" s="517"/>
      <c r="AE86" s="517"/>
      <c r="AF86" s="517"/>
      <c r="AG86" s="517"/>
      <c r="AH86" s="517"/>
      <c r="AI86" s="517"/>
      <c r="AJ86" s="517"/>
      <c r="AK86" s="517"/>
      <c r="AL86" s="517"/>
      <c r="AM86" s="517"/>
      <c r="AN86" s="517"/>
      <c r="AO86" s="517"/>
      <c r="AP86" s="517"/>
      <c r="AR86" s="517"/>
      <c r="AS86" s="517"/>
      <c r="AT86" s="517"/>
      <c r="AU86" s="596" t="s">
        <v>487</v>
      </c>
      <c r="AV86" s="597">
        <f>SUM(AV81:AV85,AV75:AV77)+AV79</f>
        <v>649613.93383985979</v>
      </c>
      <c r="AW86" s="597">
        <f t="shared" ref="AW86:BA86" si="35">SUM(AW81:AW85,AW75:AW77)+AW79</f>
        <v>650491.14573626325</v>
      </c>
      <c r="AX86" s="597">
        <f t="shared" si="35"/>
        <v>651381.66026138933</v>
      </c>
      <c r="AY86" s="597">
        <f>SUM(AY81:AY85,AY75:AY77)+AX79</f>
        <v>652196.97271814244</v>
      </c>
      <c r="AZ86" s="597">
        <f t="shared" si="35"/>
        <v>653010.36667873512</v>
      </c>
      <c r="BA86" s="597">
        <f t="shared" si="35"/>
        <v>653825.35690120864</v>
      </c>
    </row>
    <row r="87" spans="23:53" x14ac:dyDescent="0.2">
      <c r="W87" s="595"/>
      <c r="X87" s="517"/>
      <c r="Y87" s="517"/>
      <c r="Z87" s="517"/>
      <c r="AA87" s="517"/>
      <c r="AB87" s="517"/>
      <c r="AC87" s="517"/>
      <c r="AD87" s="517"/>
      <c r="AE87" s="517"/>
      <c r="AF87" s="517"/>
      <c r="AG87" s="517"/>
      <c r="AH87" s="517"/>
      <c r="AI87" s="517"/>
      <c r="AJ87" s="517"/>
      <c r="AK87" s="517"/>
      <c r="AL87" s="517"/>
      <c r="AM87" s="517"/>
      <c r="AN87" s="517"/>
      <c r="AO87" s="517"/>
      <c r="AP87" s="517"/>
      <c r="AR87" s="517"/>
      <c r="AS87" s="517"/>
      <c r="AT87" s="517"/>
      <c r="AU87" s="595"/>
      <c r="AV87" s="517"/>
      <c r="AW87" s="517"/>
      <c r="AX87" s="517"/>
      <c r="AY87" s="517"/>
      <c r="AZ87" s="517"/>
      <c r="BA87" s="517"/>
    </row>
    <row r="88" spans="23:53" x14ac:dyDescent="0.2">
      <c r="W88" s="595" t="s">
        <v>500</v>
      </c>
      <c r="X88" s="517"/>
      <c r="Y88" s="517"/>
      <c r="Z88" s="517"/>
      <c r="AA88" s="517"/>
      <c r="AB88" s="517"/>
      <c r="AC88" s="517"/>
      <c r="AD88" s="517"/>
      <c r="AE88" s="517"/>
      <c r="AF88" s="517"/>
      <c r="AG88" s="517"/>
      <c r="AH88" s="517"/>
      <c r="AI88" s="517"/>
      <c r="AJ88" s="517"/>
      <c r="AK88" s="517"/>
      <c r="AL88" s="517"/>
      <c r="AM88" s="517"/>
      <c r="AN88" s="517"/>
      <c r="AO88" s="517"/>
      <c r="AP88" s="517"/>
      <c r="AR88" s="517"/>
      <c r="AS88" s="517"/>
      <c r="AT88" s="517"/>
      <c r="AW88" s="517"/>
      <c r="AX88" s="517"/>
      <c r="AY88" s="517"/>
      <c r="AZ88" s="517"/>
      <c r="BA88" s="517"/>
    </row>
    <row r="89" spans="23:53" x14ac:dyDescent="0.2">
      <c r="W89" s="595" t="s">
        <v>501</v>
      </c>
      <c r="X89" s="517"/>
      <c r="Y89" s="517"/>
      <c r="Z89" s="517"/>
      <c r="AA89" s="517"/>
      <c r="AB89" s="517"/>
      <c r="AC89" s="517"/>
      <c r="AD89" s="517"/>
      <c r="AE89" s="517"/>
      <c r="AF89" s="517"/>
      <c r="AG89" s="517"/>
      <c r="AH89" s="517"/>
      <c r="AI89" s="517"/>
      <c r="AJ89" s="517"/>
      <c r="AK89" s="517"/>
      <c r="AL89" s="517"/>
      <c r="AM89" s="517"/>
      <c r="AN89" s="517"/>
      <c r="AO89" s="517"/>
      <c r="AP89" s="517"/>
      <c r="AR89" s="517"/>
      <c r="AS89" s="517"/>
      <c r="AT89" s="517"/>
      <c r="AU89" s="595" t="s">
        <v>500</v>
      </c>
      <c r="AV89" s="517">
        <f>ABS(AL68-AK68)</f>
        <v>339395.38152608834</v>
      </c>
      <c r="AW89" s="517">
        <f t="shared" ref="AW89:AZ89" si="36">ABS(AM68-AL68)</f>
        <v>403335.91873369459</v>
      </c>
      <c r="AX89" s="517">
        <f t="shared" si="36"/>
        <v>429424.5896526454</v>
      </c>
      <c r="AY89" s="517">
        <f t="shared" si="36"/>
        <v>472517.48358126916</v>
      </c>
      <c r="AZ89" s="517">
        <f t="shared" si="36"/>
        <v>516192.71391433384</v>
      </c>
      <c r="BA89" s="517">
        <f>ABS(AQ68-AP68)</f>
        <v>575591.02716730163</v>
      </c>
    </row>
    <row r="90" spans="23:53" x14ac:dyDescent="0.2">
      <c r="W90" s="595" t="s">
        <v>502</v>
      </c>
      <c r="X90" s="517"/>
      <c r="Y90" s="517"/>
      <c r="Z90" s="517"/>
      <c r="AA90" s="517"/>
      <c r="AB90" s="517"/>
      <c r="AC90" s="517"/>
      <c r="AD90" s="517"/>
      <c r="AE90" s="517"/>
      <c r="AF90" s="517"/>
      <c r="AG90" s="517"/>
      <c r="AH90" s="517"/>
      <c r="AI90" s="517"/>
      <c r="AJ90" s="517"/>
      <c r="AK90" s="517"/>
      <c r="AL90" s="517"/>
      <c r="AM90" s="517"/>
      <c r="AN90" s="517"/>
      <c r="AO90" s="517"/>
      <c r="AP90" s="517"/>
      <c r="AR90" s="517"/>
      <c r="AS90" s="517"/>
      <c r="AT90" s="517"/>
      <c r="AU90" s="595"/>
      <c r="AV90" s="517"/>
      <c r="AW90" s="517"/>
      <c r="AX90" s="517"/>
      <c r="AY90" s="517"/>
      <c r="AZ90" s="517"/>
      <c r="BA90" s="517"/>
    </row>
    <row r="91" spans="23:53" x14ac:dyDescent="0.2">
      <c r="W91" s="596" t="s">
        <v>489</v>
      </c>
      <c r="X91" s="517"/>
      <c r="Y91" s="517"/>
      <c r="Z91" s="517"/>
      <c r="AA91" s="517"/>
      <c r="AB91" s="517"/>
      <c r="AC91" s="517"/>
      <c r="AD91" s="517"/>
      <c r="AE91" s="517"/>
      <c r="AF91" s="517"/>
      <c r="AG91" s="517"/>
      <c r="AH91" s="517"/>
      <c r="AI91" s="517"/>
      <c r="AJ91" s="517"/>
      <c r="AK91" s="517"/>
      <c r="AL91" s="517"/>
      <c r="AM91" s="517"/>
      <c r="AN91" s="517"/>
      <c r="AO91" s="517"/>
      <c r="AP91" s="517"/>
      <c r="AR91" s="517"/>
      <c r="AS91" s="517"/>
      <c r="AT91" s="517"/>
      <c r="AU91" s="596" t="s">
        <v>489</v>
      </c>
      <c r="AV91" s="598">
        <f>SUM(AV89:AV90)</f>
        <v>339395.38152608834</v>
      </c>
      <c r="AW91" s="598">
        <f t="shared" ref="AW91:BA91" si="37">SUM(AW89:AW90)</f>
        <v>403335.91873369459</v>
      </c>
      <c r="AX91" s="598">
        <f t="shared" si="37"/>
        <v>429424.5896526454</v>
      </c>
      <c r="AY91" s="598">
        <f t="shared" si="37"/>
        <v>472517.48358126916</v>
      </c>
      <c r="AZ91" s="598">
        <f t="shared" si="37"/>
        <v>516192.71391433384</v>
      </c>
      <c r="BA91" s="598">
        <f t="shared" si="37"/>
        <v>575591.02716730163</v>
      </c>
    </row>
    <row r="92" spans="23:53" x14ac:dyDescent="0.2">
      <c r="W92" s="595"/>
      <c r="X92" s="517"/>
      <c r="Y92" s="517"/>
      <c r="Z92" s="517"/>
      <c r="AA92" s="517"/>
      <c r="AB92" s="517"/>
      <c r="AC92" s="517"/>
      <c r="AD92" s="517"/>
      <c r="AE92" s="517"/>
      <c r="AF92" s="517"/>
      <c r="AG92" s="517"/>
      <c r="AH92" s="517"/>
      <c r="AI92" s="517"/>
      <c r="AJ92" s="517"/>
      <c r="AK92" s="517"/>
      <c r="AL92" s="517"/>
      <c r="AM92" s="517"/>
      <c r="AN92" s="517"/>
      <c r="AO92" s="517"/>
      <c r="AP92" s="517"/>
      <c r="AR92" s="517"/>
      <c r="AS92" s="517"/>
      <c r="AT92" s="517"/>
      <c r="AU92" s="595"/>
      <c r="AV92" s="517"/>
      <c r="AW92" s="517"/>
      <c r="AX92" s="517"/>
      <c r="AY92" s="517"/>
      <c r="AZ92" s="517"/>
      <c r="BA92" s="517"/>
    </row>
    <row r="93" spans="23:53" x14ac:dyDescent="0.2">
      <c r="W93" s="602" t="s">
        <v>275</v>
      </c>
      <c r="X93" s="517"/>
      <c r="Y93" s="517"/>
      <c r="Z93" s="517"/>
      <c r="AA93" s="517"/>
      <c r="AB93" s="517"/>
      <c r="AC93" s="517"/>
      <c r="AD93" s="517"/>
      <c r="AE93" s="517"/>
      <c r="AF93" s="517"/>
      <c r="AG93" s="517"/>
      <c r="AH93" s="517"/>
      <c r="AI93" s="517"/>
      <c r="AJ93" s="517"/>
      <c r="AK93" s="517"/>
      <c r="AL93" s="517"/>
      <c r="AM93" s="517"/>
      <c r="AN93" s="517"/>
      <c r="AO93" s="517"/>
      <c r="AP93" s="517"/>
      <c r="AR93" s="517"/>
      <c r="AS93" s="517"/>
      <c r="AT93" s="517"/>
      <c r="AU93" s="602" t="s">
        <v>275</v>
      </c>
      <c r="AV93" s="598">
        <f t="shared" ref="AV93:BA93" si="38">AV86+AV91</f>
        <v>989009.31536594813</v>
      </c>
      <c r="AW93" s="598">
        <f t="shared" si="38"/>
        <v>1053827.0644699577</v>
      </c>
      <c r="AX93" s="598">
        <f t="shared" si="38"/>
        <v>1080806.2499140347</v>
      </c>
      <c r="AY93" s="598">
        <f t="shared" si="38"/>
        <v>1124714.4562994116</v>
      </c>
      <c r="AZ93" s="598">
        <f t="shared" si="38"/>
        <v>1169203.0805930691</v>
      </c>
      <c r="BA93" s="598">
        <f t="shared" si="38"/>
        <v>1229416.3840685103</v>
      </c>
    </row>
    <row r="94" spans="23:53" x14ac:dyDescent="0.2">
      <c r="W94" s="604" t="s">
        <v>404</v>
      </c>
      <c r="AU94" s="730" t="s">
        <v>503</v>
      </c>
      <c r="AV94" s="731">
        <f>AV93+$W$21</f>
        <v>1183741.594526784</v>
      </c>
      <c r="AW94" s="731">
        <f t="shared" ref="AW94:BA94" si="39">AW93+$W$21</f>
        <v>1248559.3436307937</v>
      </c>
      <c r="AX94" s="731">
        <f t="shared" si="39"/>
        <v>1275538.5290748707</v>
      </c>
      <c r="AY94" s="731">
        <f t="shared" si="39"/>
        <v>1319446.7354602476</v>
      </c>
      <c r="AZ94" s="731">
        <f t="shared" si="39"/>
        <v>1363935.3597539051</v>
      </c>
      <c r="BA94" s="731">
        <f t="shared" si="39"/>
        <v>1424148.6632293463</v>
      </c>
    </row>
    <row r="95" spans="23:53" x14ac:dyDescent="0.2">
      <c r="W95" s="604"/>
      <c r="AU95" s="531" t="s">
        <v>504</v>
      </c>
      <c r="AV95" s="517">
        <v>1172000</v>
      </c>
      <c r="AW95" s="517">
        <v>1251000</v>
      </c>
      <c r="AX95" s="517">
        <v>1379000</v>
      </c>
      <c r="AY95" s="517">
        <v>1475000</v>
      </c>
      <c r="AZ95" s="517">
        <v>1536000</v>
      </c>
      <c r="BA95" s="517">
        <v>1628000</v>
      </c>
    </row>
    <row r="96" spans="23:53" x14ac:dyDescent="0.2">
      <c r="W96" s="604"/>
      <c r="AU96" s="732" t="s">
        <v>505</v>
      </c>
      <c r="AV96" s="528">
        <f>AV94-AV95</f>
        <v>11741.594526784029</v>
      </c>
      <c r="AW96" s="528">
        <f t="shared" ref="AW96:BA96" si="40">AW94-AW95</f>
        <v>-2440.6563692062628</v>
      </c>
      <c r="AX96" s="528">
        <f t="shared" si="40"/>
        <v>-103461.47092512925</v>
      </c>
      <c r="AY96" s="528">
        <f t="shared" si="40"/>
        <v>-155553.26453975239</v>
      </c>
      <c r="AZ96" s="528">
        <f t="shared" si="40"/>
        <v>-172064.6402460949</v>
      </c>
      <c r="BA96" s="528">
        <f t="shared" si="40"/>
        <v>-203851.33677065372</v>
      </c>
    </row>
    <row r="97" spans="23:60" x14ac:dyDescent="0.2">
      <c r="W97" s="604"/>
      <c r="AU97" s="732"/>
      <c r="AV97" s="528"/>
      <c r="AW97" s="528"/>
      <c r="AX97" s="528"/>
      <c r="AY97" s="528"/>
      <c r="AZ97" s="528"/>
      <c r="BA97" s="528"/>
    </row>
    <row r="98" spans="23:60" x14ac:dyDescent="0.2">
      <c r="W98" s="595" t="s">
        <v>479</v>
      </c>
      <c r="AU98" s="604" t="s">
        <v>404</v>
      </c>
    </row>
    <row r="99" spans="23:60" x14ac:dyDescent="0.2">
      <c r="W99" s="595" t="s">
        <v>480</v>
      </c>
      <c r="AU99" s="595" t="s">
        <v>478</v>
      </c>
      <c r="AV99" s="517">
        <f t="shared" ref="AV99:BA101" si="41">AV75</f>
        <v>0</v>
      </c>
      <c r="AW99" s="517">
        <f t="shared" si="41"/>
        <v>0</v>
      </c>
      <c r="AX99" s="517">
        <f t="shared" si="41"/>
        <v>0</v>
      </c>
      <c r="AY99" s="517">
        <f t="shared" si="41"/>
        <v>0</v>
      </c>
      <c r="AZ99" s="517">
        <f t="shared" si="41"/>
        <v>0</v>
      </c>
      <c r="BA99" s="517">
        <f t="shared" si="41"/>
        <v>0</v>
      </c>
    </row>
    <row r="100" spans="23:60" x14ac:dyDescent="0.2">
      <c r="W100" s="595" t="s">
        <v>481</v>
      </c>
      <c r="AU100" s="595" t="s">
        <v>479</v>
      </c>
      <c r="AV100" s="517">
        <f t="shared" si="41"/>
        <v>0</v>
      </c>
      <c r="AW100" s="517">
        <f t="shared" si="41"/>
        <v>0</v>
      </c>
      <c r="AX100" s="517">
        <f t="shared" si="41"/>
        <v>0</v>
      </c>
      <c r="AY100" s="517">
        <f t="shared" si="41"/>
        <v>0</v>
      </c>
      <c r="AZ100" s="517">
        <f t="shared" si="41"/>
        <v>0</v>
      </c>
      <c r="BA100" s="517">
        <f t="shared" si="41"/>
        <v>0</v>
      </c>
    </row>
    <row r="101" spans="23:60" x14ac:dyDescent="0.2">
      <c r="W101" s="600" t="s">
        <v>498</v>
      </c>
      <c r="AU101" s="595" t="s">
        <v>480</v>
      </c>
      <c r="AV101" s="517">
        <f>AV77</f>
        <v>4074</v>
      </c>
      <c r="AW101" s="517">
        <f t="shared" si="41"/>
        <v>4074</v>
      </c>
      <c r="AX101" s="517">
        <f t="shared" si="41"/>
        <v>4074</v>
      </c>
      <c r="AY101" s="517">
        <f t="shared" si="41"/>
        <v>4074</v>
      </c>
      <c r="AZ101" s="517">
        <f t="shared" si="41"/>
        <v>4074</v>
      </c>
      <c r="BA101" s="517">
        <f t="shared" si="41"/>
        <v>4074</v>
      </c>
    </row>
    <row r="102" spans="23:60" x14ac:dyDescent="0.2">
      <c r="W102" s="600" t="s">
        <v>499</v>
      </c>
      <c r="AU102" s="595" t="s">
        <v>481</v>
      </c>
      <c r="AV102" s="517"/>
      <c r="AW102" s="517"/>
      <c r="AX102" s="517"/>
      <c r="AY102" s="517"/>
      <c r="AZ102" s="517"/>
      <c r="BA102" s="517"/>
    </row>
    <row r="103" spans="23:60" x14ac:dyDescent="0.2">
      <c r="W103" s="595" t="s">
        <v>482</v>
      </c>
      <c r="AU103" s="600" t="s">
        <v>498</v>
      </c>
      <c r="AV103" s="517">
        <f t="shared" ref="AV103:BA103" si="42">AV79+(AV59-AU59)*(1+$AV$79/$AA$59)</f>
        <v>620349</v>
      </c>
      <c r="AW103" s="517">
        <f t="shared" si="42"/>
        <v>620349</v>
      </c>
      <c r="AX103" s="517">
        <f t="shared" si="42"/>
        <v>620349</v>
      </c>
      <c r="AY103" s="517">
        <f t="shared" si="42"/>
        <v>620349</v>
      </c>
      <c r="AZ103" s="517">
        <f t="shared" si="42"/>
        <v>620349</v>
      </c>
      <c r="BA103" s="517">
        <f t="shared" si="42"/>
        <v>620349</v>
      </c>
    </row>
    <row r="104" spans="23:60" x14ac:dyDescent="0.2">
      <c r="W104" s="595" t="s">
        <v>483</v>
      </c>
      <c r="AU104" s="600" t="s">
        <v>499</v>
      </c>
      <c r="AV104" s="517"/>
      <c r="AW104" s="517"/>
      <c r="AX104" s="517"/>
      <c r="AY104" s="517"/>
      <c r="AZ104" s="517"/>
      <c r="BA104" s="517"/>
    </row>
    <row r="105" spans="23:60" x14ac:dyDescent="0.2">
      <c r="W105" s="595" t="s">
        <v>484</v>
      </c>
      <c r="AU105" s="595" t="s">
        <v>482</v>
      </c>
      <c r="AV105" s="517">
        <f>(1+ABS($AH$60-$AI$60)/$Y$60)*(AV60-AU60)+AV81</f>
        <v>2855.8965704382713</v>
      </c>
      <c r="AW105" s="517">
        <f t="shared" ref="AW105:BA105" si="43">(1+ABS($AH$60-$AI$60)/$Y$60)*(AW60-AV60)+AW81</f>
        <v>2291.1926522266031</v>
      </c>
      <c r="AX105" s="517">
        <f t="shared" si="43"/>
        <v>3183.6563799173191</v>
      </c>
      <c r="AY105" s="517">
        <f t="shared" si="43"/>
        <v>3446.0850366214531</v>
      </c>
      <c r="AZ105" s="517">
        <f t="shared" si="43"/>
        <v>4219.7841211431796</v>
      </c>
      <c r="BA105" s="517">
        <f t="shared" si="43"/>
        <v>5018.2781019765198</v>
      </c>
    </row>
    <row r="106" spans="23:60" x14ac:dyDescent="0.2">
      <c r="W106" s="595" t="s">
        <v>485</v>
      </c>
      <c r="AU106" s="595" t="s">
        <v>483</v>
      </c>
      <c r="AV106" s="517">
        <f>(AV61-AU61)*(1+4345/$AA$61)+AV82</f>
        <v>4413.1617047605741</v>
      </c>
      <c r="AW106" s="517">
        <f t="shared" ref="AW106:BA106" si="44">(AW61-AV61)*(1+4345/$AA$61)+AW82</f>
        <v>7088.9707284688666</v>
      </c>
      <c r="AX106" s="517">
        <f t="shared" si="44"/>
        <v>7550.8024220894376</v>
      </c>
      <c r="AY106" s="517">
        <f t="shared" si="44"/>
        <v>5474.781135480579</v>
      </c>
      <c r="AZ106" s="517">
        <f t="shared" si="44"/>
        <v>5447.0755024043056</v>
      </c>
      <c r="BA106" s="517">
        <f t="shared" si="44"/>
        <v>5519.0052596465821</v>
      </c>
      <c r="BC106" s="507"/>
      <c r="BD106" s="507"/>
      <c r="BE106" s="507"/>
      <c r="BF106" s="507"/>
      <c r="BG106" s="507"/>
    </row>
    <row r="107" spans="23:60" x14ac:dyDescent="0.2">
      <c r="W107" s="595" t="s">
        <v>486</v>
      </c>
      <c r="AU107" s="595" t="s">
        <v>484</v>
      </c>
      <c r="AV107" s="517">
        <f t="shared" ref="AV107:BA109" si="45">AV62-AU62+AV83</f>
        <v>18235.159081600963</v>
      </c>
      <c r="AW107" s="517">
        <f t="shared" si="45"/>
        <v>15753.924235883555</v>
      </c>
      <c r="AX107" s="517">
        <f t="shared" si="45"/>
        <v>16794.798116831967</v>
      </c>
      <c r="AY107" s="517">
        <f t="shared" si="45"/>
        <v>10910.557460739568</v>
      </c>
      <c r="AZ107" s="517">
        <f t="shared" si="45"/>
        <v>10760.443330247683</v>
      </c>
      <c r="BA107" s="517">
        <f t="shared" si="45"/>
        <v>10885.344004650717</v>
      </c>
    </row>
    <row r="108" spans="23:60" x14ac:dyDescent="0.2">
      <c r="W108" s="596" t="s">
        <v>487</v>
      </c>
      <c r="AU108" s="595" t="s">
        <v>485</v>
      </c>
      <c r="AV108" s="517">
        <f>(1+61/$AA$63)*(AV63-AU63)+AV84</f>
        <v>776.75247215870866</v>
      </c>
      <c r="AW108" s="517">
        <f t="shared" ref="AW108:BA108" si="46">(1+61/$AA$63)*(AW63-AV63)+AW84</f>
        <v>902.29225488792827</v>
      </c>
      <c r="AX108" s="517">
        <f t="shared" si="46"/>
        <v>1020.7513776182574</v>
      </c>
      <c r="AY108" s="517">
        <f t="shared" si="46"/>
        <v>358.15261004823833</v>
      </c>
      <c r="AZ108" s="517">
        <f t="shared" si="46"/>
        <v>341.58285557682154</v>
      </c>
      <c r="BA108" s="517">
        <f t="shared" si="46"/>
        <v>356.01579772529863</v>
      </c>
    </row>
    <row r="109" spans="23:60" x14ac:dyDescent="0.2">
      <c r="W109" s="595"/>
      <c r="AU109" s="595" t="s">
        <v>486</v>
      </c>
      <c r="AV109" s="517">
        <f t="shared" si="45"/>
        <v>11649</v>
      </c>
      <c r="AW109" s="517">
        <f t="shared" si="45"/>
        <v>11649</v>
      </c>
      <c r="AX109" s="517">
        <f t="shared" si="45"/>
        <v>11649</v>
      </c>
      <c r="AY109" s="517">
        <f t="shared" si="45"/>
        <v>11649</v>
      </c>
      <c r="AZ109" s="517">
        <f t="shared" si="45"/>
        <v>11649</v>
      </c>
      <c r="BA109" s="517">
        <f t="shared" si="45"/>
        <v>11649</v>
      </c>
      <c r="BD109" s="507"/>
      <c r="BE109" s="507"/>
      <c r="BF109" s="507"/>
      <c r="BG109" s="507"/>
      <c r="BH109" s="507"/>
    </row>
    <row r="110" spans="23:60" x14ac:dyDescent="0.2">
      <c r="W110" s="595" t="s">
        <v>500</v>
      </c>
      <c r="AU110" s="596" t="s">
        <v>487</v>
      </c>
      <c r="AV110" s="597"/>
      <c r="AW110" s="597"/>
      <c r="AX110" s="597"/>
      <c r="AY110" s="597"/>
      <c r="AZ110" s="597"/>
      <c r="BA110" s="597"/>
    </row>
    <row r="111" spans="23:60" x14ac:dyDescent="0.2">
      <c r="W111" s="595" t="s">
        <v>501</v>
      </c>
      <c r="AU111" s="595" t="s">
        <v>506</v>
      </c>
      <c r="AV111" s="517">
        <f>SUM(AV99:AV109)</f>
        <v>662352.96982895862</v>
      </c>
      <c r="AW111" s="517">
        <f t="shared" ref="AW111:BA111" si="47">SUM(AW99:AW109)</f>
        <v>662108.3798714669</v>
      </c>
      <c r="AX111" s="517">
        <f t="shared" si="47"/>
        <v>664622.00829645689</v>
      </c>
      <c r="AY111" s="517">
        <f t="shared" si="47"/>
        <v>656261.57624288974</v>
      </c>
      <c r="AZ111" s="517">
        <f t="shared" si="47"/>
        <v>656840.88580937195</v>
      </c>
      <c r="BA111" s="517">
        <f t="shared" si="47"/>
        <v>657850.64316399908</v>
      </c>
      <c r="BC111" s="517"/>
      <c r="BD111" s="517"/>
      <c r="BE111" s="517"/>
      <c r="BF111" s="517"/>
      <c r="BG111" s="517"/>
      <c r="BH111" s="517"/>
    </row>
    <row r="112" spans="23:60" x14ac:dyDescent="0.2">
      <c r="W112" s="595" t="s">
        <v>502</v>
      </c>
      <c r="AU112" s="595" t="s">
        <v>500</v>
      </c>
      <c r="AV112" s="517">
        <f>AV68-AU68+AV89</f>
        <v>374000</v>
      </c>
      <c r="AW112" s="517">
        <f t="shared" ref="AW112:BA112" si="48">AW68-AV68+AW89</f>
        <v>1098000</v>
      </c>
      <c r="AX112" s="517">
        <f t="shared" si="48"/>
        <v>448000</v>
      </c>
      <c r="AY112" s="517">
        <f t="shared" si="48"/>
        <v>740000</v>
      </c>
      <c r="AZ112" s="517">
        <f t="shared" si="48"/>
        <v>750000</v>
      </c>
      <c r="BA112" s="517">
        <f t="shared" si="48"/>
        <v>1020000</v>
      </c>
      <c r="BC112" s="507"/>
      <c r="BD112" s="507"/>
      <c r="BE112" s="507"/>
      <c r="BF112" s="507"/>
      <c r="BG112" s="507"/>
      <c r="BH112" s="507"/>
    </row>
    <row r="113" spans="23:60" x14ac:dyDescent="0.2">
      <c r="W113" s="596" t="s">
        <v>489</v>
      </c>
      <c r="AU113" s="595" t="s">
        <v>507</v>
      </c>
      <c r="AV113" s="517">
        <f>$W$21</f>
        <v>194732.27916083598</v>
      </c>
      <c r="AW113" s="517">
        <f t="shared" ref="AW113:BA113" si="49">$W$21</f>
        <v>194732.27916083598</v>
      </c>
      <c r="AX113" s="517">
        <f t="shared" si="49"/>
        <v>194732.27916083598</v>
      </c>
      <c r="AY113" s="517">
        <f t="shared" si="49"/>
        <v>194732.27916083598</v>
      </c>
      <c r="AZ113" s="517">
        <f t="shared" si="49"/>
        <v>194732.27916083598</v>
      </c>
      <c r="BA113" s="517">
        <f t="shared" si="49"/>
        <v>194732.27916083598</v>
      </c>
    </row>
    <row r="114" spans="23:60" x14ac:dyDescent="0.2">
      <c r="W114" s="595"/>
      <c r="AU114" s="733" t="s">
        <v>508</v>
      </c>
      <c r="AV114" s="734">
        <f>AV111+AV113+AV112</f>
        <v>1231085.2489897946</v>
      </c>
      <c r="AW114" s="734">
        <f t="shared" ref="AW114:BA114" si="50">AW111+AW113+AW112</f>
        <v>1954840.6590323029</v>
      </c>
      <c r="AX114" s="734">
        <f t="shared" si="50"/>
        <v>1307354.2874572929</v>
      </c>
      <c r="AY114" s="734">
        <f t="shared" si="50"/>
        <v>1590993.8554037258</v>
      </c>
      <c r="AZ114" s="734">
        <f t="shared" si="50"/>
        <v>1601573.164970208</v>
      </c>
      <c r="BA114" s="734">
        <f t="shared" si="50"/>
        <v>1872582.9223248351</v>
      </c>
      <c r="BC114" s="507"/>
      <c r="BD114" s="507"/>
      <c r="BE114" s="507"/>
      <c r="BF114" s="507"/>
      <c r="BG114" s="507"/>
      <c r="BH114" s="507"/>
    </row>
    <row r="115" spans="23:60" x14ac:dyDescent="0.2">
      <c r="W115" s="602" t="s">
        <v>275</v>
      </c>
      <c r="AU115" s="595" t="s">
        <v>509</v>
      </c>
      <c r="AV115" s="517">
        <v>915000</v>
      </c>
      <c r="AW115" s="517">
        <v>1165000</v>
      </c>
      <c r="AX115" s="517">
        <v>1301000</v>
      </c>
      <c r="AY115" s="517">
        <v>1068000</v>
      </c>
      <c r="AZ115" s="517">
        <v>1024000</v>
      </c>
      <c r="BA115" s="517">
        <v>1068000</v>
      </c>
    </row>
    <row r="116" spans="23:60" x14ac:dyDescent="0.2">
      <c r="AU116" s="732" t="s">
        <v>505</v>
      </c>
      <c r="AV116" s="528">
        <f>AV114-AV115</f>
        <v>316085.24898979464</v>
      </c>
      <c r="AW116" s="528">
        <f t="shared" ref="AW116:BA116" si="51">AW114-AW115</f>
        <v>789840.65903230291</v>
      </c>
      <c r="AX116" s="528">
        <f t="shared" si="51"/>
        <v>6354.2874572928995</v>
      </c>
      <c r="AY116" s="528">
        <f t="shared" si="51"/>
        <v>522993.85540372576</v>
      </c>
      <c r="AZ116" s="528">
        <f t="shared" si="51"/>
        <v>577573.16497020796</v>
      </c>
      <c r="BA116" s="528">
        <f t="shared" si="51"/>
        <v>804582.92232483509</v>
      </c>
      <c r="BC116" s="517"/>
      <c r="BD116" s="517"/>
      <c r="BE116" s="517"/>
      <c r="BF116" s="517"/>
      <c r="BG116" s="517"/>
      <c r="BH116" s="517"/>
    </row>
    <row r="117" spans="23:60" x14ac:dyDescent="0.2">
      <c r="AU117" s="602"/>
      <c r="AV117" s="598"/>
      <c r="AW117" s="598"/>
      <c r="AX117" s="598"/>
      <c r="AY117" s="598"/>
      <c r="AZ117" s="598"/>
      <c r="BA117" s="598"/>
    </row>
  </sheetData>
  <mergeCells count="8">
    <mergeCell ref="AH54:AQ54"/>
    <mergeCell ref="AR54:BA54"/>
    <mergeCell ref="A1:K3"/>
    <mergeCell ref="D13:D14"/>
    <mergeCell ref="E13:E14"/>
    <mergeCell ref="F13:F14"/>
    <mergeCell ref="G13:L13"/>
    <mergeCell ref="X54:AG54"/>
  </mergeCells>
  <pageMargins left="0.7" right="0.7" top="0.75" bottom="0.75" header="0.3" footer="0.3"/>
  <drawing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FCE61-16AC-4B46-8E61-5A908986E33F}">
  <dimension ref="B2:H17"/>
  <sheetViews>
    <sheetView topLeftCell="G1" workbookViewId="0">
      <selection sqref="A1:B1"/>
    </sheetView>
  </sheetViews>
  <sheetFormatPr baseColWidth="10" defaultColWidth="8.83203125" defaultRowHeight="16" x14ac:dyDescent="0.2"/>
  <cols>
    <col min="3" max="3" width="13.6640625" bestFit="1" customWidth="1"/>
    <col min="4" max="4" width="19.33203125" bestFit="1" customWidth="1"/>
    <col min="5" max="5" width="18.1640625" bestFit="1" customWidth="1"/>
    <col min="7" max="7" width="12.1640625" bestFit="1" customWidth="1"/>
    <col min="8" max="8" width="10.6640625" bestFit="1" customWidth="1"/>
  </cols>
  <sheetData>
    <row r="2" spans="2:8" x14ac:dyDescent="0.2">
      <c r="C2" s="964" t="s">
        <v>1296</v>
      </c>
      <c r="D2" s="964" t="s">
        <v>1297</v>
      </c>
      <c r="E2" s="964" t="s">
        <v>1298</v>
      </c>
    </row>
    <row r="3" spans="2:8" x14ac:dyDescent="0.2">
      <c r="B3" s="331">
        <v>0.25</v>
      </c>
      <c r="D3">
        <v>7.1</v>
      </c>
      <c r="E3">
        <v>0.8</v>
      </c>
    </row>
    <row r="4" spans="2:8" x14ac:dyDescent="0.2">
      <c r="B4" s="331">
        <v>0.75</v>
      </c>
      <c r="D4">
        <v>18.16</v>
      </c>
      <c r="E4">
        <v>1.42</v>
      </c>
    </row>
    <row r="5" spans="2:8" x14ac:dyDescent="0.2">
      <c r="B5" s="331"/>
    </row>
    <row r="6" spans="2:8" x14ac:dyDescent="0.2">
      <c r="C6" s="964" t="s">
        <v>1296</v>
      </c>
      <c r="D6" s="964" t="s">
        <v>1301</v>
      </c>
      <c r="E6" s="964" t="s">
        <v>1302</v>
      </c>
    </row>
    <row r="7" spans="2:8" x14ac:dyDescent="0.2">
      <c r="B7" s="331" t="s">
        <v>1299</v>
      </c>
      <c r="C7">
        <v>9741300000</v>
      </c>
      <c r="D7">
        <f>+D3*$H$7</f>
        <v>6411626600</v>
      </c>
      <c r="E7">
        <f>+E3*$G$7</f>
        <v>6872746400</v>
      </c>
      <c r="G7" s="6">
        <v>8590933000</v>
      </c>
      <c r="H7" s="6">
        <v>903046000</v>
      </c>
    </row>
    <row r="8" spans="2:8" x14ac:dyDescent="0.2">
      <c r="B8" s="331" t="s">
        <v>1300</v>
      </c>
      <c r="C8">
        <v>1058700000</v>
      </c>
      <c r="D8">
        <f>+D4*$H$7</f>
        <v>16399315360</v>
      </c>
      <c r="E8">
        <f>+E4*$G$7</f>
        <v>12199124860</v>
      </c>
    </row>
    <row r="9" spans="2:8" x14ac:dyDescent="0.2">
      <c r="B9" t="s">
        <v>1303</v>
      </c>
      <c r="C9">
        <f>+MAX($C$7:$E$7)</f>
        <v>9741300000</v>
      </c>
      <c r="D9">
        <f>+MAX($C$7:$E$7)</f>
        <v>9741300000</v>
      </c>
      <c r="E9">
        <f>+MAX($C$7:$E$7)</f>
        <v>9741300000</v>
      </c>
    </row>
    <row r="10" spans="2:8" x14ac:dyDescent="0.2">
      <c r="B10" s="331" t="s">
        <v>1304</v>
      </c>
      <c r="C10">
        <f>+MIN($C$8:$E$8)</f>
        <v>1058700000</v>
      </c>
      <c r="D10">
        <f>+MIN($C$8:$E$8)</f>
        <v>1058700000</v>
      </c>
      <c r="E10">
        <f>+MIN($C$8:$E$8)</f>
        <v>1058700000</v>
      </c>
    </row>
    <row r="17" spans="6:6" x14ac:dyDescent="0.2">
      <c r="F17" s="6"/>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7D4C7-A598-FA4E-B8A2-10BBFFED0EE0}">
  <sheetPr>
    <tabColor rgb="FFFFC000"/>
    <pageSetUpPr fitToPage="1"/>
  </sheetPr>
  <dimension ref="A2:BW220"/>
  <sheetViews>
    <sheetView showGridLines="0" topLeftCell="A2" zoomScale="135" zoomScaleNormal="72" workbookViewId="0">
      <pane xSplit="2" topLeftCell="AN1" activePane="topRight" state="frozen"/>
      <selection pane="topRight" activeCell="AW29" sqref="AW29"/>
    </sheetView>
  </sheetViews>
  <sheetFormatPr baseColWidth="10" defaultColWidth="11.5" defaultRowHeight="14" outlineLevelCol="1" x14ac:dyDescent="0.2"/>
  <cols>
    <col min="1" max="1" width="1.5" style="104" customWidth="1"/>
    <col min="2" max="2" width="70.5" style="104" customWidth="1"/>
    <col min="3" max="3" width="8.83203125" style="123" bestFit="1" customWidth="1"/>
    <col min="4" max="7" width="8.6640625" style="104" customWidth="1" outlineLevel="1"/>
    <col min="8" max="8" width="9.5" style="104" customWidth="1" outlineLevel="1"/>
    <col min="9" max="9" width="8.6640625" style="104" customWidth="1" outlineLevel="1"/>
    <col min="10" max="11" width="9" style="104" customWidth="1" outlineLevel="1"/>
    <col min="12" max="12" width="9.5" style="104" customWidth="1" outlineLevel="1"/>
    <col min="13" max="25" width="11.5" style="104" customWidth="1"/>
    <col min="26" max="43" width="11.5" style="104" bestFit="1" customWidth="1"/>
    <col min="44" max="44" width="11.5" style="104"/>
    <col min="45" max="48" width="11.5" style="104" bestFit="1" customWidth="1"/>
    <col min="49" max="55" width="11.5" style="104" customWidth="1"/>
    <col min="56" max="59" width="11.5" style="124" customWidth="1"/>
    <col min="60" max="63" width="11.5" style="104" customWidth="1"/>
    <col min="64" max="64" width="11.5" style="124" customWidth="1"/>
    <col min="65" max="67" width="11.5" style="104" customWidth="1"/>
    <col min="68" max="69" width="11.5" style="104"/>
    <col min="70" max="70" width="22.6640625" style="104" customWidth="1"/>
    <col min="71" max="16384" width="11.5" style="104"/>
  </cols>
  <sheetData>
    <row r="2" spans="1:69" x14ac:dyDescent="0.2">
      <c r="A2" s="122"/>
    </row>
    <row r="3" spans="1:69" x14ac:dyDescent="0.2">
      <c r="A3" s="125"/>
      <c r="B3" s="106"/>
      <c r="C3" s="105"/>
      <c r="D3" s="106"/>
      <c r="E3" s="106"/>
      <c r="F3" s="106"/>
      <c r="G3" s="106"/>
      <c r="H3" s="106"/>
      <c r="I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6"/>
      <c r="AQ3" s="106"/>
      <c r="AS3" s="106"/>
      <c r="AT3" s="106"/>
      <c r="AU3" s="106"/>
      <c r="AV3" s="106"/>
      <c r="AW3" s="106"/>
      <c r="AX3" s="106"/>
      <c r="AY3" s="106"/>
      <c r="AZ3" s="106"/>
      <c r="BA3" s="106"/>
      <c r="BB3" s="106"/>
      <c r="BC3" s="106"/>
      <c r="BD3" s="107"/>
      <c r="BE3" s="107"/>
      <c r="BF3" s="107"/>
      <c r="BG3" s="107"/>
      <c r="BH3" s="106"/>
      <c r="BI3" s="106"/>
      <c r="BJ3" s="106"/>
      <c r="BK3" s="106"/>
      <c r="BL3" s="107"/>
      <c r="BM3" s="106"/>
      <c r="BN3" s="106"/>
      <c r="BO3" s="106"/>
    </row>
    <row r="4" spans="1:69" x14ac:dyDescent="0.2">
      <c r="A4" s="125"/>
      <c r="B4" s="106"/>
      <c r="C4" s="105"/>
      <c r="D4" s="106"/>
      <c r="E4" s="106"/>
      <c r="F4" s="106"/>
      <c r="G4" s="106"/>
      <c r="H4" s="106"/>
      <c r="I4" s="106"/>
      <c r="O4" s="106"/>
      <c r="P4" s="106"/>
      <c r="Q4" s="106"/>
      <c r="R4" s="106"/>
      <c r="S4" s="106"/>
      <c r="T4" s="106"/>
      <c r="U4" s="106"/>
      <c r="V4" s="106"/>
      <c r="W4" s="106"/>
      <c r="X4" s="106"/>
      <c r="Y4" s="106"/>
      <c r="Z4" s="106"/>
      <c r="AA4" s="106"/>
      <c r="AB4" s="106"/>
      <c r="AC4" s="106"/>
      <c r="AD4" s="106"/>
      <c r="AE4" s="106"/>
      <c r="AF4" s="106"/>
      <c r="AG4" s="106"/>
      <c r="AH4" s="106"/>
      <c r="AI4" s="106"/>
      <c r="AJ4" s="106"/>
      <c r="AK4" s="106"/>
      <c r="AL4" s="106"/>
      <c r="AM4" s="106"/>
      <c r="AN4" s="106"/>
      <c r="AO4" s="106"/>
      <c r="AP4" s="106"/>
      <c r="AQ4" s="106"/>
      <c r="AS4" s="106"/>
      <c r="AT4" s="106"/>
      <c r="AU4" s="106"/>
      <c r="AV4" s="106"/>
      <c r="AW4" s="106"/>
      <c r="AX4" s="106"/>
      <c r="AY4" s="106"/>
      <c r="AZ4" s="106"/>
      <c r="BA4" s="106"/>
      <c r="BB4" s="106"/>
      <c r="BC4" s="106"/>
      <c r="BD4" s="107"/>
      <c r="BE4" s="107"/>
      <c r="BF4" s="107"/>
      <c r="BG4" s="107"/>
      <c r="BH4" s="106"/>
      <c r="BI4" s="106"/>
      <c r="BJ4" s="106"/>
      <c r="BK4" s="106"/>
      <c r="BL4" s="107"/>
      <c r="BM4" s="106"/>
      <c r="BN4" s="106"/>
      <c r="BO4" s="106"/>
    </row>
    <row r="5" spans="1:69" x14ac:dyDescent="0.2">
      <c r="A5" s="125"/>
      <c r="C5" s="105"/>
      <c r="D5" s="106"/>
      <c r="E5" s="106"/>
      <c r="F5" s="106"/>
      <c r="G5" s="106"/>
      <c r="H5" s="106"/>
      <c r="I5" s="106"/>
      <c r="O5" s="106"/>
      <c r="P5" s="106"/>
      <c r="Q5" s="106"/>
      <c r="R5" s="106"/>
      <c r="S5" s="106"/>
      <c r="T5" s="106"/>
      <c r="U5" s="106"/>
      <c r="V5" s="106"/>
      <c r="W5" s="106"/>
      <c r="X5" s="106"/>
      <c r="Y5" s="106"/>
      <c r="Z5" s="106"/>
      <c r="AA5" s="106"/>
      <c r="AB5" s="106"/>
      <c r="AC5" s="106"/>
      <c r="AD5" s="106"/>
      <c r="AE5" s="106"/>
      <c r="AF5" s="106"/>
      <c r="AG5" s="106"/>
      <c r="AH5" s="106"/>
      <c r="AI5" s="106"/>
      <c r="AJ5" s="106"/>
      <c r="AK5" s="106"/>
      <c r="AL5" s="106"/>
      <c r="AM5" s="106"/>
      <c r="AN5" s="106"/>
      <c r="AO5" s="106"/>
      <c r="AP5" s="106"/>
      <c r="AQ5" s="106"/>
      <c r="AS5" s="126" t="s">
        <v>673</v>
      </c>
      <c r="AT5" s="106"/>
      <c r="AU5" s="106"/>
      <c r="AV5" s="106"/>
      <c r="AW5" s="106"/>
      <c r="AX5" s="106"/>
      <c r="AY5" s="106"/>
      <c r="AZ5" s="106"/>
      <c r="BA5" s="106"/>
      <c r="BB5" s="106"/>
      <c r="BC5" s="106"/>
      <c r="BD5" s="107"/>
      <c r="BE5" s="107"/>
      <c r="BF5" s="107"/>
      <c r="BG5" s="107"/>
      <c r="BH5" s="106"/>
      <c r="BI5" s="106"/>
      <c r="BJ5" s="106"/>
      <c r="BK5" s="106"/>
      <c r="BL5" s="107"/>
      <c r="BM5" s="106"/>
      <c r="BN5" s="106"/>
      <c r="BO5" s="106"/>
    </row>
    <row r="6" spans="1:69" x14ac:dyDescent="0.2">
      <c r="A6" s="103" t="s">
        <v>674</v>
      </c>
      <c r="C6" s="105"/>
      <c r="D6" s="106"/>
      <c r="E6" s="106"/>
      <c r="F6" s="106"/>
      <c r="G6" s="106"/>
      <c r="H6" s="106"/>
      <c r="I6" s="106"/>
      <c r="O6" s="106"/>
      <c r="P6" s="106"/>
      <c r="Q6" s="106"/>
      <c r="R6" s="106"/>
      <c r="S6" s="106"/>
      <c r="T6" s="106"/>
      <c r="U6" s="106"/>
      <c r="V6" s="106"/>
      <c r="W6" s="106"/>
      <c r="X6" s="106"/>
      <c r="Y6" s="106"/>
      <c r="Z6" s="106"/>
      <c r="AA6" s="106"/>
      <c r="AB6" s="106"/>
      <c r="AC6" s="106"/>
      <c r="AD6" s="106"/>
      <c r="AE6" s="106"/>
      <c r="AF6" s="106"/>
      <c r="AG6" s="106"/>
      <c r="AH6" s="106"/>
      <c r="AI6" s="106"/>
      <c r="AJ6" s="106"/>
      <c r="AK6" s="106"/>
      <c r="AL6" s="106"/>
      <c r="AM6" s="106"/>
      <c r="AN6" s="106"/>
      <c r="AO6" s="106"/>
      <c r="AP6" s="106"/>
      <c r="AQ6" s="106"/>
      <c r="AS6" s="106"/>
      <c r="AT6" s="106"/>
      <c r="AU6" s="106"/>
      <c r="AV6" s="106"/>
      <c r="AW6" s="106"/>
      <c r="AX6" s="106"/>
      <c r="AY6" s="106"/>
      <c r="AZ6" s="106"/>
      <c r="BA6" s="106"/>
      <c r="BB6" s="106"/>
      <c r="BC6" s="106"/>
      <c r="BD6" s="107"/>
      <c r="BE6" s="107"/>
      <c r="BF6" s="107"/>
      <c r="BG6" s="107"/>
      <c r="BH6" s="106"/>
      <c r="BI6" s="106"/>
      <c r="BJ6" s="106"/>
      <c r="BK6" s="106"/>
      <c r="BL6" s="107"/>
      <c r="BM6" s="106"/>
      <c r="BN6" s="106"/>
      <c r="BO6" s="106"/>
    </row>
    <row r="7" spans="1:69" ht="14.5" customHeight="1" x14ac:dyDescent="0.2">
      <c r="A7" s="1230" t="s">
        <v>343</v>
      </c>
      <c r="B7" s="1231"/>
      <c r="C7" s="108" t="s">
        <v>675</v>
      </c>
      <c r="D7" s="109" t="s">
        <v>676</v>
      </c>
      <c r="E7" s="109" t="s">
        <v>677</v>
      </c>
      <c r="F7" s="109" t="s">
        <v>678</v>
      </c>
      <c r="G7" s="109" t="s">
        <v>679</v>
      </c>
      <c r="H7" s="110" t="s">
        <v>680</v>
      </c>
      <c r="I7" s="109" t="s">
        <v>681</v>
      </c>
      <c r="J7" s="109" t="s">
        <v>682</v>
      </c>
      <c r="K7" s="109" t="s">
        <v>683</v>
      </c>
      <c r="L7" s="109" t="s">
        <v>684</v>
      </c>
      <c r="M7" s="127" t="s">
        <v>671</v>
      </c>
      <c r="N7" s="109" t="s">
        <v>619</v>
      </c>
      <c r="O7" s="109" t="s">
        <v>620</v>
      </c>
      <c r="P7" s="109" t="s">
        <v>621</v>
      </c>
      <c r="Q7" s="109" t="s">
        <v>622</v>
      </c>
      <c r="R7" s="111">
        <v>2013</v>
      </c>
      <c r="S7" s="109" t="s">
        <v>623</v>
      </c>
      <c r="T7" s="109" t="s">
        <v>624</v>
      </c>
      <c r="U7" s="109" t="s">
        <v>625</v>
      </c>
      <c r="V7" s="109" t="s">
        <v>626</v>
      </c>
      <c r="W7" s="111">
        <v>2014</v>
      </c>
      <c r="X7" s="109" t="s">
        <v>627</v>
      </c>
      <c r="Y7" s="109" t="s">
        <v>628</v>
      </c>
      <c r="Z7" s="109" t="s">
        <v>629</v>
      </c>
      <c r="AA7" s="109" t="s">
        <v>630</v>
      </c>
      <c r="AB7" s="111">
        <v>2015</v>
      </c>
      <c r="AC7" s="109" t="s">
        <v>631</v>
      </c>
      <c r="AD7" s="109" t="s">
        <v>632</v>
      </c>
      <c r="AE7" s="109" t="s">
        <v>633</v>
      </c>
      <c r="AF7" s="109" t="s">
        <v>634</v>
      </c>
      <c r="AG7" s="111">
        <v>2016</v>
      </c>
      <c r="AH7" s="109" t="s">
        <v>635</v>
      </c>
      <c r="AI7" s="109" t="s">
        <v>636</v>
      </c>
      <c r="AJ7" s="109" t="s">
        <v>637</v>
      </c>
      <c r="AK7" s="109" t="s">
        <v>638</v>
      </c>
      <c r="AL7" s="111">
        <v>2017</v>
      </c>
      <c r="AM7" s="109" t="s">
        <v>639</v>
      </c>
      <c r="AN7" s="109" t="s">
        <v>640</v>
      </c>
      <c r="AO7" s="109" t="s">
        <v>641</v>
      </c>
      <c r="AP7" s="109" t="s">
        <v>642</v>
      </c>
      <c r="AQ7" s="111">
        <v>2018</v>
      </c>
      <c r="AS7" s="109" t="s">
        <v>639</v>
      </c>
      <c r="AT7" s="109" t="s">
        <v>640</v>
      </c>
      <c r="AU7" s="109" t="s">
        <v>641</v>
      </c>
      <c r="AV7" s="109" t="s">
        <v>642</v>
      </c>
      <c r="AW7" s="111">
        <v>2018</v>
      </c>
      <c r="AX7" s="109" t="s">
        <v>643</v>
      </c>
      <c r="AY7" s="109" t="s">
        <v>644</v>
      </c>
      <c r="AZ7" s="109" t="s">
        <v>645</v>
      </c>
      <c r="BA7" s="109" t="s">
        <v>646</v>
      </c>
      <c r="BB7" s="111">
        <v>2019</v>
      </c>
      <c r="BC7" s="109" t="s">
        <v>647</v>
      </c>
      <c r="BD7" s="112" t="s">
        <v>648</v>
      </c>
      <c r="BE7" s="112" t="s">
        <v>649</v>
      </c>
      <c r="BF7" s="112" t="s">
        <v>650</v>
      </c>
      <c r="BG7" s="113">
        <v>2020</v>
      </c>
      <c r="BH7" s="109" t="s">
        <v>651</v>
      </c>
      <c r="BI7" s="109" t="s">
        <v>652</v>
      </c>
      <c r="BJ7" s="109" t="s">
        <v>653</v>
      </c>
      <c r="BK7" s="109" t="s">
        <v>654</v>
      </c>
      <c r="BL7" s="113">
        <v>2021</v>
      </c>
      <c r="BM7" s="109" t="s">
        <v>655</v>
      </c>
      <c r="BN7" s="109" t="s">
        <v>656</v>
      </c>
      <c r="BO7" s="109" t="s">
        <v>685</v>
      </c>
    </row>
    <row r="8" spans="1:69" x14ac:dyDescent="0.2">
      <c r="B8" s="128" t="s">
        <v>686</v>
      </c>
      <c r="C8" s="105"/>
      <c r="D8" s="129"/>
      <c r="E8" s="129"/>
      <c r="F8" s="129"/>
      <c r="G8" s="129"/>
      <c r="H8" s="130"/>
      <c r="I8" s="129"/>
      <c r="J8" s="129"/>
      <c r="K8" s="129"/>
      <c r="L8" s="129"/>
      <c r="M8" s="129"/>
      <c r="N8" s="129"/>
      <c r="O8" s="129"/>
      <c r="P8" s="129"/>
      <c r="Q8" s="129"/>
      <c r="R8" s="131"/>
      <c r="S8" s="129"/>
      <c r="T8" s="129"/>
      <c r="U8" s="129"/>
      <c r="V8" s="129"/>
      <c r="W8" s="131"/>
      <c r="X8" s="129"/>
      <c r="Y8" s="129"/>
      <c r="Z8" s="129"/>
      <c r="AA8" s="129"/>
      <c r="AB8" s="131"/>
      <c r="AC8" s="129"/>
      <c r="AD8" s="129"/>
      <c r="AE8" s="129"/>
      <c r="AF8" s="129"/>
      <c r="AG8" s="131"/>
      <c r="AH8" s="129"/>
      <c r="AI8" s="129"/>
      <c r="AJ8" s="129"/>
      <c r="AK8" s="129"/>
      <c r="AL8" s="131"/>
      <c r="AM8" s="131"/>
      <c r="AN8" s="131"/>
      <c r="AO8" s="131"/>
      <c r="AP8" s="131"/>
      <c r="AQ8" s="131"/>
      <c r="AS8" s="131"/>
      <c r="AT8" s="131"/>
      <c r="AU8" s="131"/>
      <c r="AV8" s="131"/>
      <c r="AW8" s="131"/>
      <c r="AX8" s="131"/>
      <c r="AY8" s="131"/>
      <c r="AZ8" s="131"/>
      <c r="BA8" s="131"/>
      <c r="BB8" s="131"/>
      <c r="BC8" s="131"/>
      <c r="BD8" s="132"/>
      <c r="BE8" s="132"/>
      <c r="BF8" s="132"/>
      <c r="BG8" s="132"/>
      <c r="BH8" s="131"/>
      <c r="BI8" s="131"/>
      <c r="BJ8" s="131"/>
      <c r="BK8" s="131"/>
      <c r="BL8" s="132"/>
      <c r="BM8" s="131"/>
      <c r="BN8" s="131"/>
      <c r="BO8" s="131"/>
    </row>
    <row r="9" spans="1:69" x14ac:dyDescent="0.2">
      <c r="B9" s="133" t="s">
        <v>511</v>
      </c>
      <c r="C9" s="105" t="s">
        <v>687</v>
      </c>
      <c r="D9" s="134">
        <v>2604195</v>
      </c>
      <c r="E9" s="134">
        <v>2584848</v>
      </c>
      <c r="F9" s="134">
        <v>2887061</v>
      </c>
      <c r="G9" s="134">
        <v>2884564</v>
      </c>
      <c r="H9" s="134">
        <v>10960668</v>
      </c>
      <c r="I9" s="134">
        <v>2792278</v>
      </c>
      <c r="J9" s="134">
        <v>2554638</v>
      </c>
      <c r="K9" s="134">
        <v>2811233</v>
      </c>
      <c r="L9" s="134">
        <v>2858827</v>
      </c>
      <c r="M9" s="134">
        <v>11016976</v>
      </c>
      <c r="N9" s="134">
        <v>2871378</v>
      </c>
      <c r="O9" s="134">
        <v>2520129</v>
      </c>
      <c r="P9" s="134">
        <v>2833605</v>
      </c>
      <c r="Q9" s="134">
        <v>2836446</v>
      </c>
      <c r="R9" s="134">
        <v>11061557</v>
      </c>
      <c r="S9" s="134">
        <v>2688611</v>
      </c>
      <c r="T9" s="134">
        <v>2527960</v>
      </c>
      <c r="U9" s="134">
        <v>2637086</v>
      </c>
      <c r="V9" s="134">
        <v>2526465</v>
      </c>
      <c r="W9" s="134">
        <v>10380122</v>
      </c>
      <c r="X9" s="134">
        <v>2343527</v>
      </c>
      <c r="Y9" s="134">
        <v>1977161</v>
      </c>
      <c r="Z9" s="134">
        <v>2113683</v>
      </c>
      <c r="AA9" s="134">
        <v>1976243</v>
      </c>
      <c r="AB9" s="134">
        <v>8410614</v>
      </c>
      <c r="AC9" s="134">
        <v>1958289.814400204</v>
      </c>
      <c r="AD9" s="134">
        <v>1706714</v>
      </c>
      <c r="AE9" s="134">
        <v>2100307</v>
      </c>
      <c r="AF9" s="134">
        <v>2112404</v>
      </c>
      <c r="AG9" s="134">
        <f>SUM(AC9:AF9)</f>
        <v>7877714.8144002035</v>
      </c>
      <c r="AH9" s="134">
        <v>2106161</v>
      </c>
      <c r="AI9" s="134">
        <v>1888311</v>
      </c>
      <c r="AJ9" s="134">
        <v>2225427</v>
      </c>
      <c r="AK9" s="134">
        <v>2274578</v>
      </c>
      <c r="AL9" s="134">
        <f>SUM(AH9:AK9)</f>
        <v>8494477</v>
      </c>
      <c r="AM9" s="134">
        <v>2318015</v>
      </c>
      <c r="AN9" s="134">
        <v>1956555</v>
      </c>
      <c r="AO9" s="134">
        <v>2107168</v>
      </c>
      <c r="AP9" s="134">
        <v>2327250</v>
      </c>
      <c r="AQ9" s="134">
        <f>SUM(AM9:AP9)</f>
        <v>8708988</v>
      </c>
      <c r="AS9" s="134">
        <v>2318015</v>
      </c>
      <c r="AT9" s="134">
        <v>1956555</v>
      </c>
      <c r="AU9" s="134">
        <v>2107168</v>
      </c>
      <c r="AV9" s="134">
        <v>2327250</v>
      </c>
      <c r="AW9" s="134">
        <f>SUM(AS9:AV9)</f>
        <v>8708988</v>
      </c>
      <c r="AX9" s="134">
        <v>2167982</v>
      </c>
      <c r="AY9" s="134">
        <v>2019675</v>
      </c>
      <c r="AZ9" s="134">
        <v>2340297</v>
      </c>
      <c r="BA9" s="134">
        <v>2477675</v>
      </c>
      <c r="BB9" s="134">
        <f>SUM(AX9:BA9)</f>
        <v>9005629</v>
      </c>
      <c r="BC9" s="134">
        <v>2013702</v>
      </c>
      <c r="BD9" s="135">
        <v>122947</v>
      </c>
      <c r="BE9" s="135">
        <v>121044</v>
      </c>
      <c r="BF9" s="136">
        <v>456081</v>
      </c>
      <c r="BG9" s="135">
        <f>SUM(BC9:BF9)</f>
        <v>2713774</v>
      </c>
      <c r="BH9" s="134">
        <v>496978.81978045794</v>
      </c>
      <c r="BI9" s="134">
        <v>455690.99519655143</v>
      </c>
      <c r="BJ9" s="134">
        <v>914582</v>
      </c>
      <c r="BK9" s="134">
        <v>1475128.7571807359</v>
      </c>
      <c r="BL9" s="135">
        <f>SUM(BH9:BK9)</f>
        <v>3342380.5721577452</v>
      </c>
      <c r="BM9" s="134">
        <v>1486238.7543948407</v>
      </c>
      <c r="BN9" s="134">
        <v>1713385.1416266887</v>
      </c>
      <c r="BO9" s="134">
        <v>2145387.0162907932</v>
      </c>
    </row>
    <row r="10" spans="1:69" x14ac:dyDescent="0.2">
      <c r="B10" s="133" t="s">
        <v>512</v>
      </c>
      <c r="C10" s="105" t="s">
        <v>687</v>
      </c>
      <c r="D10" s="134">
        <v>451417.77221987874</v>
      </c>
      <c r="E10" s="134">
        <v>537986.9782501678</v>
      </c>
      <c r="F10" s="134">
        <v>523091</v>
      </c>
      <c r="G10" s="134">
        <v>555121.05540287704</v>
      </c>
      <c r="H10" s="134">
        <v>2067616.8058729235</v>
      </c>
      <c r="I10" s="134">
        <v>475606</v>
      </c>
      <c r="J10" s="134">
        <v>478244</v>
      </c>
      <c r="K10" s="134">
        <v>448014</v>
      </c>
      <c r="L10" s="134">
        <v>537886</v>
      </c>
      <c r="M10" s="134">
        <v>1939751</v>
      </c>
      <c r="N10" s="134">
        <v>460395</v>
      </c>
      <c r="O10" s="134">
        <v>486527</v>
      </c>
      <c r="P10" s="134">
        <v>436362</v>
      </c>
      <c r="Q10" s="134">
        <v>479696</v>
      </c>
      <c r="R10" s="134">
        <v>1862980</v>
      </c>
      <c r="S10" s="134">
        <v>420709</v>
      </c>
      <c r="T10" s="134">
        <v>424934</v>
      </c>
      <c r="U10" s="134">
        <v>410486</v>
      </c>
      <c r="V10" s="134">
        <v>457249</v>
      </c>
      <c r="W10" s="134">
        <v>1713379</v>
      </c>
      <c r="X10" s="134">
        <v>350322</v>
      </c>
      <c r="Y10" s="134">
        <v>334445</v>
      </c>
      <c r="Z10" s="134">
        <v>309781</v>
      </c>
      <c r="AA10" s="134">
        <v>334883</v>
      </c>
      <c r="AB10" s="134">
        <v>1329431</v>
      </c>
      <c r="AC10" s="134">
        <v>275967</v>
      </c>
      <c r="AD10" s="134">
        <v>260010</v>
      </c>
      <c r="AE10" s="134">
        <v>265594</v>
      </c>
      <c r="AF10" s="134">
        <v>309054</v>
      </c>
      <c r="AG10" s="134">
        <f>SUM(AC10:AF10)</f>
        <v>1110625</v>
      </c>
      <c r="AH10" s="134">
        <v>253746</v>
      </c>
      <c r="AI10" s="134">
        <v>256511</v>
      </c>
      <c r="AJ10" s="134">
        <v>272153</v>
      </c>
      <c r="AK10" s="134">
        <v>337020</v>
      </c>
      <c r="AL10" s="134">
        <f>SUM(AH10:AK10)</f>
        <v>1119430</v>
      </c>
      <c r="AM10" s="134">
        <v>295820</v>
      </c>
      <c r="AN10" s="134">
        <v>299703</v>
      </c>
      <c r="AO10" s="134">
        <v>278883</v>
      </c>
      <c r="AP10" s="134">
        <v>312062</v>
      </c>
      <c r="AQ10" s="134">
        <f>SUM(AM10:AP10)</f>
        <v>1186468</v>
      </c>
      <c r="AS10" s="134">
        <v>295820</v>
      </c>
      <c r="AT10" s="134">
        <v>299703</v>
      </c>
      <c r="AU10" s="134">
        <v>278883</v>
      </c>
      <c r="AV10" s="134">
        <v>312062</v>
      </c>
      <c r="AW10" s="134">
        <f>SUM(AS10:AV10)</f>
        <v>1186468</v>
      </c>
      <c r="AX10" s="134">
        <v>263496</v>
      </c>
      <c r="AY10" s="134">
        <v>269261</v>
      </c>
      <c r="AZ10" s="134">
        <v>251691</v>
      </c>
      <c r="BA10" s="134">
        <v>279986</v>
      </c>
      <c r="BB10" s="134">
        <f>SUM(AX10:BA10)</f>
        <v>1064434</v>
      </c>
      <c r="BC10" s="134">
        <v>252389</v>
      </c>
      <c r="BD10" s="135">
        <v>318727</v>
      </c>
      <c r="BE10" s="135">
        <v>283956</v>
      </c>
      <c r="BF10" s="136">
        <v>354821</v>
      </c>
      <c r="BG10" s="135">
        <f>SUM(BC10:BF10)</f>
        <v>1209893</v>
      </c>
      <c r="BH10" s="134">
        <v>345221.35335000401</v>
      </c>
      <c r="BI10" s="134">
        <v>370162.23400786344</v>
      </c>
      <c r="BJ10" s="134">
        <v>361437</v>
      </c>
      <c r="BK10" s="134">
        <v>464814</v>
      </c>
      <c r="BL10" s="135">
        <f>SUM(BH10:BK10)</f>
        <v>1541634.5873578675</v>
      </c>
      <c r="BM10" s="134">
        <v>430698.05440235202</v>
      </c>
      <c r="BN10" s="134">
        <v>462828.81499662803</v>
      </c>
      <c r="BO10" s="134">
        <v>412452</v>
      </c>
    </row>
    <row r="11" spans="1:69" x14ac:dyDescent="0.2">
      <c r="B11" s="133" t="s">
        <v>499</v>
      </c>
      <c r="C11" s="105" t="s">
        <v>687</v>
      </c>
      <c r="D11" s="134">
        <v>94608</v>
      </c>
      <c r="E11" s="134">
        <v>76037</v>
      </c>
      <c r="F11" s="134">
        <v>66686</v>
      </c>
      <c r="G11" s="134">
        <v>45684</v>
      </c>
      <c r="H11" s="134">
        <v>283015</v>
      </c>
      <c r="I11" s="134">
        <v>55688</v>
      </c>
      <c r="J11" s="134">
        <v>56149</v>
      </c>
      <c r="K11" s="134">
        <v>79736</v>
      </c>
      <c r="L11" s="134">
        <v>73792</v>
      </c>
      <c r="M11" s="134">
        <v>265365</v>
      </c>
      <c r="N11" s="134">
        <v>77196</v>
      </c>
      <c r="O11" s="134">
        <v>92255</v>
      </c>
      <c r="P11" s="134">
        <v>90711</v>
      </c>
      <c r="Q11" s="134">
        <v>81404</v>
      </c>
      <c r="R11" s="134">
        <v>341565</v>
      </c>
      <c r="S11" s="134">
        <v>68114</v>
      </c>
      <c r="T11" s="134">
        <v>94834</v>
      </c>
      <c r="U11" s="134">
        <v>93728</v>
      </c>
      <c r="V11" s="134">
        <v>120969</v>
      </c>
      <c r="W11" s="134">
        <v>377645</v>
      </c>
      <c r="X11" s="134">
        <v>97293</v>
      </c>
      <c r="Y11" s="134">
        <v>101248</v>
      </c>
      <c r="Z11" s="134">
        <v>91358</v>
      </c>
      <c r="AA11" s="134">
        <v>95882</v>
      </c>
      <c r="AB11" s="134">
        <v>385781</v>
      </c>
      <c r="AC11" s="134">
        <v>93359.758421625753</v>
      </c>
      <c r="AD11" s="134">
        <v>143909</v>
      </c>
      <c r="AE11" s="134">
        <v>153625</v>
      </c>
      <c r="AF11" s="134">
        <v>147854</v>
      </c>
      <c r="AG11" s="134">
        <f>SUM(AC11:AF11)</f>
        <v>538747.75842162571</v>
      </c>
      <c r="AH11" s="134">
        <v>117542</v>
      </c>
      <c r="AI11" s="134">
        <v>128912</v>
      </c>
      <c r="AJ11" s="134">
        <v>147454</v>
      </c>
      <c r="AK11" s="134">
        <v>155981</v>
      </c>
      <c r="AL11" s="134">
        <f>SUM(AH11:AK11)</f>
        <v>549889</v>
      </c>
      <c r="AM11" s="134">
        <v>116701</v>
      </c>
      <c r="AN11" s="134">
        <v>101096</v>
      </c>
      <c r="AO11" s="134">
        <v>105930</v>
      </c>
      <c r="AP11" s="134">
        <v>149031</v>
      </c>
      <c r="AQ11" s="134">
        <f>SUM(AM11:AP11)</f>
        <v>472758</v>
      </c>
      <c r="AS11" s="134">
        <v>116701</v>
      </c>
      <c r="AT11" s="134">
        <v>101096</v>
      </c>
      <c r="AU11" s="134">
        <v>105930</v>
      </c>
      <c r="AV11" s="134">
        <v>149031</v>
      </c>
      <c r="AW11" s="134">
        <f>SUM(AS11:AV11)</f>
        <v>472758</v>
      </c>
      <c r="AX11" s="134">
        <v>93790</v>
      </c>
      <c r="AY11" s="134">
        <v>81021</v>
      </c>
      <c r="AZ11" s="134">
        <v>73112</v>
      </c>
      <c r="BA11" s="134">
        <v>112941</v>
      </c>
      <c r="BB11" s="134">
        <f>SUM(AX11:BA11)</f>
        <v>360864</v>
      </c>
      <c r="BC11" s="134">
        <v>86234</v>
      </c>
      <c r="BD11" s="135">
        <v>130210</v>
      </c>
      <c r="BE11" s="135">
        <v>107932</v>
      </c>
      <c r="BF11" s="136">
        <v>86626</v>
      </c>
      <c r="BG11" s="135">
        <f>SUM(BC11:BF11)</f>
        <v>411002</v>
      </c>
      <c r="BH11" s="134">
        <v>70964.002465515587</v>
      </c>
      <c r="BI11" s="134">
        <v>62851.159071563241</v>
      </c>
      <c r="BJ11" s="134">
        <v>37602</v>
      </c>
      <c r="BK11" s="134">
        <v>55914</v>
      </c>
      <c r="BL11" s="135">
        <f>SUM(BH11:BK11)</f>
        <v>227331.16153707882</v>
      </c>
      <c r="BM11" s="134">
        <v>42093.9291469936</v>
      </c>
      <c r="BN11" s="134">
        <v>49872.625668809909</v>
      </c>
      <c r="BO11" s="134">
        <v>29580</v>
      </c>
    </row>
    <row r="12" spans="1:69" x14ac:dyDescent="0.2">
      <c r="B12" s="137" t="s">
        <v>10</v>
      </c>
      <c r="C12" s="138" t="s">
        <v>687</v>
      </c>
      <c r="D12" s="139">
        <v>3150220.7722198786</v>
      </c>
      <c r="E12" s="139">
        <v>3198871.9782501678</v>
      </c>
      <c r="F12" s="139">
        <v>3476838</v>
      </c>
      <c r="G12" s="139">
        <v>3485369.0554028768</v>
      </c>
      <c r="H12" s="139">
        <v>13311299.805872923</v>
      </c>
      <c r="I12" s="139">
        <v>3323572</v>
      </c>
      <c r="J12" s="139">
        <v>3089031</v>
      </c>
      <c r="K12" s="139">
        <v>3338983</v>
      </c>
      <c r="L12" s="139">
        <v>3470505</v>
      </c>
      <c r="M12" s="139">
        <v>13222092</v>
      </c>
      <c r="N12" s="139">
        <v>3408969</v>
      </c>
      <c r="O12" s="139">
        <v>3098911</v>
      </c>
      <c r="P12" s="139">
        <v>3360678</v>
      </c>
      <c r="Q12" s="139">
        <v>3397546</v>
      </c>
      <c r="R12" s="139">
        <v>13266102</v>
      </c>
      <c r="S12" s="139">
        <v>3177435</v>
      </c>
      <c r="T12" s="139">
        <v>3047728</v>
      </c>
      <c r="U12" s="139">
        <v>3141300</v>
      </c>
      <c r="V12" s="139">
        <v>3104683</v>
      </c>
      <c r="W12" s="139">
        <v>12471146</v>
      </c>
      <c r="X12" s="139">
        <v>2791142</v>
      </c>
      <c r="Y12" s="139">
        <v>2412854</v>
      </c>
      <c r="Z12" s="139">
        <v>2514822</v>
      </c>
      <c r="AA12" s="139">
        <v>2407008</v>
      </c>
      <c r="AB12" s="139">
        <v>10125826</v>
      </c>
      <c r="AC12" s="139">
        <f t="shared" ref="AC12:AL12" si="0">SUM(AC9:AC11)</f>
        <v>2327616.5728218299</v>
      </c>
      <c r="AD12" s="139">
        <f t="shared" si="0"/>
        <v>2110633</v>
      </c>
      <c r="AE12" s="139">
        <f t="shared" si="0"/>
        <v>2519526</v>
      </c>
      <c r="AF12" s="139">
        <f t="shared" si="0"/>
        <v>2569312</v>
      </c>
      <c r="AG12" s="139">
        <f t="shared" si="0"/>
        <v>9527087.5728218295</v>
      </c>
      <c r="AH12" s="139">
        <f t="shared" si="0"/>
        <v>2477449</v>
      </c>
      <c r="AI12" s="139">
        <f t="shared" si="0"/>
        <v>2273734</v>
      </c>
      <c r="AJ12" s="139">
        <f t="shared" si="0"/>
        <v>2645034</v>
      </c>
      <c r="AK12" s="139">
        <f t="shared" si="0"/>
        <v>2767579</v>
      </c>
      <c r="AL12" s="139">
        <f t="shared" si="0"/>
        <v>10163796</v>
      </c>
      <c r="AM12" s="139">
        <f>SUM(AM9:AM11)</f>
        <v>2730536</v>
      </c>
      <c r="AN12" s="139">
        <f t="shared" ref="AN12:AQ12" si="1">SUM(AN9:AN11)</f>
        <v>2357354</v>
      </c>
      <c r="AO12" s="139">
        <f t="shared" si="1"/>
        <v>2491981</v>
      </c>
      <c r="AP12" s="139">
        <f t="shared" si="1"/>
        <v>2788343</v>
      </c>
      <c r="AQ12" s="139">
        <f t="shared" si="1"/>
        <v>10368214</v>
      </c>
      <c r="AS12" s="139">
        <f>SUM(AS9:AS11)</f>
        <v>2730536</v>
      </c>
      <c r="AT12" s="139">
        <f t="shared" ref="AT12:AY12" si="2">SUM(AT9:AT11)</f>
        <v>2357354</v>
      </c>
      <c r="AU12" s="139">
        <f t="shared" si="2"/>
        <v>2491981</v>
      </c>
      <c r="AV12" s="139">
        <f t="shared" si="2"/>
        <v>2788343</v>
      </c>
      <c r="AW12" s="139">
        <f t="shared" si="2"/>
        <v>10368214</v>
      </c>
      <c r="AX12" s="139">
        <f t="shared" si="2"/>
        <v>2525268</v>
      </c>
      <c r="AY12" s="139">
        <f t="shared" si="2"/>
        <v>2369957</v>
      </c>
      <c r="AZ12" s="139">
        <v>2665100</v>
      </c>
      <c r="BA12" s="139">
        <f>+SUM(BA9:BA11)</f>
        <v>2870602</v>
      </c>
      <c r="BB12" s="139">
        <f t="shared" ref="BB12:BC12" si="3">SUM(BB9:BB11)</f>
        <v>10430927</v>
      </c>
      <c r="BC12" s="139">
        <f t="shared" si="3"/>
        <v>2352325</v>
      </c>
      <c r="BD12" s="140">
        <f>SUM(BD9:BD11)</f>
        <v>571884</v>
      </c>
      <c r="BE12" s="140">
        <f>SUM(BE9:BE11)</f>
        <v>512932</v>
      </c>
      <c r="BF12" s="140">
        <f>+SUM(BF9:BF11)</f>
        <v>897528</v>
      </c>
      <c r="BG12" s="140">
        <f>SUM(BG9:BG11)</f>
        <v>4334669</v>
      </c>
      <c r="BH12" s="139">
        <f t="shared" ref="BH12:BK12" si="4">SUM(BH9:BH11)</f>
        <v>913164.17559597758</v>
      </c>
      <c r="BI12" s="139">
        <f t="shared" si="4"/>
        <v>888704.38827597816</v>
      </c>
      <c r="BJ12" s="139">
        <f t="shared" si="4"/>
        <v>1313621</v>
      </c>
      <c r="BK12" s="139">
        <f t="shared" si="4"/>
        <v>1995856.7571807359</v>
      </c>
      <c r="BL12" s="140">
        <f>SUM(BL9:BL11)</f>
        <v>5111346.3210526919</v>
      </c>
      <c r="BM12" s="139">
        <f t="shared" ref="BM12:BO12" si="5">SUM(BM9:BM11)</f>
        <v>1959030.7379441864</v>
      </c>
      <c r="BN12" s="139">
        <f t="shared" si="5"/>
        <v>2226086.5822921265</v>
      </c>
      <c r="BO12" s="139">
        <f t="shared" si="5"/>
        <v>2587419.0162907932</v>
      </c>
    </row>
    <row r="13" spans="1:69" ht="15" x14ac:dyDescent="0.2">
      <c r="B13" s="106" t="s">
        <v>669</v>
      </c>
      <c r="C13" s="105"/>
      <c r="D13" s="134"/>
      <c r="E13" s="134"/>
      <c r="F13" s="134"/>
      <c r="G13" s="134"/>
      <c r="H13" s="134"/>
      <c r="I13" s="134"/>
      <c r="J13" s="134"/>
      <c r="K13" s="134"/>
      <c r="L13" s="134"/>
      <c r="M13" s="134"/>
      <c r="N13" s="134"/>
      <c r="O13" s="134"/>
      <c r="P13" s="134"/>
      <c r="Q13" s="134"/>
      <c r="R13" s="134"/>
      <c r="S13" s="141"/>
      <c r="T13" s="141"/>
      <c r="U13" s="141"/>
      <c r="V13" s="141"/>
      <c r="W13" s="134"/>
      <c r="X13" s="141"/>
      <c r="Y13" s="141"/>
      <c r="Z13" s="141"/>
      <c r="AA13" s="141"/>
      <c r="AB13" s="134"/>
      <c r="AC13" s="141"/>
      <c r="AD13" s="141"/>
      <c r="AE13" s="141"/>
      <c r="AF13" s="141"/>
      <c r="AG13" s="134"/>
      <c r="AH13" s="141"/>
      <c r="AI13" s="141"/>
      <c r="AJ13" s="141"/>
      <c r="AK13" s="141"/>
      <c r="AL13" s="134"/>
      <c r="AM13" s="134"/>
      <c r="AN13" s="134"/>
      <c r="AO13" s="134"/>
      <c r="AP13" s="134"/>
      <c r="AQ13" s="134"/>
      <c r="AS13" s="134"/>
      <c r="AT13" s="134"/>
      <c r="AU13" s="134"/>
      <c r="AV13" s="134"/>
      <c r="AW13" s="134"/>
      <c r="AX13" s="134"/>
      <c r="AY13" s="134"/>
      <c r="AZ13" s="134"/>
      <c r="BA13" s="134"/>
      <c r="BB13" s="134"/>
      <c r="BC13" s="134"/>
      <c r="BD13" s="135"/>
      <c r="BE13" s="135"/>
      <c r="BF13" s="135"/>
      <c r="BG13" s="135"/>
      <c r="BH13" s="134"/>
      <c r="BI13" s="134"/>
      <c r="BJ13" s="134"/>
      <c r="BK13" s="134"/>
      <c r="BL13" s="135"/>
      <c r="BM13" s="134"/>
      <c r="BN13" s="134"/>
      <c r="BO13" s="134"/>
    </row>
    <row r="14" spans="1:69" x14ac:dyDescent="0.2">
      <c r="B14" s="142" t="s">
        <v>11</v>
      </c>
      <c r="C14" s="143"/>
      <c r="D14" s="144"/>
      <c r="E14" s="144"/>
      <c r="F14" s="144"/>
      <c r="G14" s="144"/>
      <c r="H14" s="144"/>
      <c r="I14" s="144"/>
      <c r="J14" s="144"/>
      <c r="K14" s="144"/>
      <c r="L14" s="144"/>
      <c r="M14" s="144"/>
      <c r="N14" s="144"/>
      <c r="O14" s="144"/>
      <c r="P14" s="144"/>
      <c r="Q14" s="144"/>
      <c r="R14" s="144"/>
      <c r="S14" s="144"/>
      <c r="T14" s="144"/>
      <c r="U14" s="144"/>
      <c r="V14" s="144"/>
      <c r="W14" s="144"/>
      <c r="X14" s="144"/>
      <c r="Y14" s="144"/>
      <c r="Z14" s="144"/>
      <c r="AA14" s="144"/>
      <c r="AB14" s="144"/>
      <c r="AC14" s="144"/>
      <c r="AD14" s="144"/>
      <c r="AE14" s="144"/>
      <c r="AF14" s="144"/>
      <c r="AG14" s="144"/>
      <c r="AH14" s="144"/>
      <c r="AI14" s="144"/>
      <c r="AJ14" s="144"/>
      <c r="AK14" s="144"/>
      <c r="AL14" s="144"/>
      <c r="AM14" s="144"/>
      <c r="AN14" s="144"/>
      <c r="AO14" s="144"/>
      <c r="AP14" s="144"/>
      <c r="AQ14" s="144"/>
      <c r="AS14" s="144"/>
      <c r="AT14" s="144"/>
      <c r="AU14" s="144"/>
      <c r="AV14" s="144"/>
      <c r="AW14" s="144"/>
      <c r="AX14" s="144"/>
      <c r="AY14" s="144"/>
      <c r="AZ14" s="144"/>
      <c r="BA14" s="144"/>
      <c r="BB14" s="144"/>
      <c r="BC14" s="144"/>
      <c r="BD14" s="145"/>
      <c r="BE14" s="145"/>
      <c r="BF14" s="145"/>
      <c r="BG14" s="145"/>
      <c r="BH14" s="144"/>
      <c r="BI14" s="144"/>
      <c r="BJ14" s="144"/>
      <c r="BK14" s="144"/>
      <c r="BL14" s="145"/>
      <c r="BM14" s="144"/>
      <c r="BN14" s="144"/>
      <c r="BO14" s="144"/>
    </row>
    <row r="15" spans="1:69" x14ac:dyDescent="0.2">
      <c r="B15" s="133" t="s">
        <v>12</v>
      </c>
      <c r="C15" s="105" t="s">
        <v>687</v>
      </c>
      <c r="D15" s="134">
        <v>-613968</v>
      </c>
      <c r="E15" s="134">
        <v>-646361</v>
      </c>
      <c r="F15" s="134">
        <v>-644835</v>
      </c>
      <c r="G15" s="134">
        <v>-603250</v>
      </c>
      <c r="H15" s="134">
        <v>-2508414</v>
      </c>
      <c r="I15" s="134">
        <v>-667711</v>
      </c>
      <c r="J15" s="134">
        <v>-638874</v>
      </c>
      <c r="K15" s="134">
        <v>-648097</v>
      </c>
      <c r="L15" s="134">
        <v>-641637</v>
      </c>
      <c r="M15" s="134">
        <v>-2596320</v>
      </c>
      <c r="N15" s="134">
        <v>-617370</v>
      </c>
      <c r="O15" s="134">
        <v>-639973</v>
      </c>
      <c r="P15" s="134">
        <v>-624991</v>
      </c>
      <c r="Q15" s="134">
        <v>-610434</v>
      </c>
      <c r="R15" s="134">
        <v>-2492769</v>
      </c>
      <c r="S15" s="134">
        <v>-599767</v>
      </c>
      <c r="T15" s="134">
        <v>-616565</v>
      </c>
      <c r="U15" s="134">
        <v>-607417</v>
      </c>
      <c r="V15" s="134">
        <v>-526352</v>
      </c>
      <c r="W15" s="134">
        <v>-2350102</v>
      </c>
      <c r="X15" s="134">
        <v>-575689</v>
      </c>
      <c r="Y15" s="134">
        <v>-528160</v>
      </c>
      <c r="Z15" s="134">
        <v>-507351</v>
      </c>
      <c r="AA15" s="134">
        <v>-461605</v>
      </c>
      <c r="AB15" s="134">
        <v>-2072805</v>
      </c>
      <c r="AC15" s="134">
        <v>-488715</v>
      </c>
      <c r="AD15" s="134">
        <v>-446407</v>
      </c>
      <c r="AE15" s="134">
        <v>-519485</v>
      </c>
      <c r="AF15" s="134">
        <v>-496525</v>
      </c>
      <c r="AG15" s="134">
        <f t="shared" ref="AG15:AG23" si="6">SUM(AC15:AF15)</f>
        <v>-1951132</v>
      </c>
      <c r="AH15" s="134">
        <v>-525218</v>
      </c>
      <c r="AI15" s="134">
        <v>-452642</v>
      </c>
      <c r="AJ15" s="134">
        <v>-525991</v>
      </c>
      <c r="AK15" s="134">
        <v>-519783</v>
      </c>
      <c r="AL15" s="134">
        <f t="shared" ref="AL15:AL23" si="7">SUM(AH15:AK15)</f>
        <v>-2023634</v>
      </c>
      <c r="AM15" s="134">
        <v>-514543</v>
      </c>
      <c r="AN15" s="134">
        <v>-435743</v>
      </c>
      <c r="AO15" s="134">
        <v>-403345</v>
      </c>
      <c r="AP15" s="134">
        <v>-466338</v>
      </c>
      <c r="AQ15" s="134">
        <f>SUM(AM15:AP15)</f>
        <v>-1819969</v>
      </c>
      <c r="AS15" s="134">
        <v>-514543</v>
      </c>
      <c r="AT15" s="134">
        <v>-435743</v>
      </c>
      <c r="AU15" s="134">
        <v>-403345</v>
      </c>
      <c r="AV15" s="134">
        <v>-466338</v>
      </c>
      <c r="AW15" s="134">
        <f>SUM(AS15:AV15)</f>
        <v>-1819969</v>
      </c>
      <c r="AX15" s="134">
        <v>-476012</v>
      </c>
      <c r="AY15" s="134">
        <v>-432241</v>
      </c>
      <c r="AZ15" s="134">
        <v>-446772</v>
      </c>
      <c r="BA15" s="134">
        <v>-439737</v>
      </c>
      <c r="BB15" s="134">
        <f>SUM(AX15:BA15)</f>
        <v>-1794762</v>
      </c>
      <c r="BC15" s="134">
        <v>-406115</v>
      </c>
      <c r="BD15" s="135">
        <v>-174051</v>
      </c>
      <c r="BE15" s="135">
        <v>-196137</v>
      </c>
      <c r="BF15" s="135">
        <v>-185757</v>
      </c>
      <c r="BG15" s="135">
        <f>SUM(BC15:BF15)</f>
        <v>-962060</v>
      </c>
      <c r="BH15" s="134">
        <v>-234308.82328615501</v>
      </c>
      <c r="BI15" s="134">
        <v>-232142</v>
      </c>
      <c r="BJ15" s="134">
        <v>-252445</v>
      </c>
      <c r="BK15" s="134">
        <v>-323004</v>
      </c>
      <c r="BL15" s="135">
        <f>SUM(BH15:BK15)</f>
        <v>-1041899.823286155</v>
      </c>
      <c r="BM15" s="134">
        <v>-284253</v>
      </c>
      <c r="BN15" s="134">
        <v>-289633</v>
      </c>
      <c r="BO15" s="134">
        <v>-302163</v>
      </c>
      <c r="BP15" s="134">
        <f>SUM(BM15:BO15)</f>
        <v>-876049</v>
      </c>
      <c r="BQ15" s="134">
        <f>BP15*4/3</f>
        <v>-1168065.3333333333</v>
      </c>
    </row>
    <row r="16" spans="1:69" x14ac:dyDescent="0.2">
      <c r="B16" s="133" t="s">
        <v>13</v>
      </c>
      <c r="C16" s="105" t="s">
        <v>687</v>
      </c>
      <c r="D16" s="134">
        <v>-1024007</v>
      </c>
      <c r="E16" s="134">
        <v>-1110841</v>
      </c>
      <c r="F16" s="134">
        <v>-959380</v>
      </c>
      <c r="G16" s="134">
        <v>-1150589</v>
      </c>
      <c r="H16" s="134">
        <v>-4244817</v>
      </c>
      <c r="I16" s="134">
        <v>-1209300</v>
      </c>
      <c r="J16" s="134">
        <v>-1158205</v>
      </c>
      <c r="K16" s="134">
        <v>-1162100</v>
      </c>
      <c r="L16" s="134">
        <v>-1250684</v>
      </c>
      <c r="M16" s="134">
        <v>-4780289</v>
      </c>
      <c r="N16" s="134">
        <v>-1245155</v>
      </c>
      <c r="O16" s="134">
        <v>-1027596</v>
      </c>
      <c r="P16" s="134">
        <v>-1055800</v>
      </c>
      <c r="Q16" s="134">
        <v>-1085698</v>
      </c>
      <c r="R16" s="134">
        <v>-4414249</v>
      </c>
      <c r="S16" s="134">
        <v>-1080184</v>
      </c>
      <c r="T16" s="134">
        <v>-1027100</v>
      </c>
      <c r="U16" s="134">
        <v>-1047722</v>
      </c>
      <c r="V16" s="134">
        <v>-1012024</v>
      </c>
      <c r="W16" s="134">
        <v>-4167030</v>
      </c>
      <c r="X16" s="134">
        <v>-744064</v>
      </c>
      <c r="Y16" s="134">
        <v>-674972</v>
      </c>
      <c r="Z16" s="134">
        <v>-658840</v>
      </c>
      <c r="AA16" s="134">
        <v>-573190</v>
      </c>
      <c r="AB16" s="134">
        <v>-2651066</v>
      </c>
      <c r="AC16" s="134">
        <v>-461433</v>
      </c>
      <c r="AD16" s="134">
        <v>-468004</v>
      </c>
      <c r="AE16" s="134">
        <v>-570188</v>
      </c>
      <c r="AF16" s="134">
        <v>-557018</v>
      </c>
      <c r="AG16" s="134">
        <f t="shared" si="6"/>
        <v>-2056643</v>
      </c>
      <c r="AH16" s="134">
        <v>-595031</v>
      </c>
      <c r="AI16" s="134">
        <v>-510627</v>
      </c>
      <c r="AJ16" s="134">
        <v>-562248</v>
      </c>
      <c r="AK16" s="134">
        <v>-650909</v>
      </c>
      <c r="AL16" s="134">
        <f t="shared" si="7"/>
        <v>-2318815</v>
      </c>
      <c r="AM16" s="134">
        <v>-717854</v>
      </c>
      <c r="AN16" s="134">
        <v>-685557</v>
      </c>
      <c r="AO16" s="134">
        <v>-747263</v>
      </c>
      <c r="AP16" s="134">
        <v>-832354</v>
      </c>
      <c r="AQ16" s="134">
        <f t="shared" ref="AQ16:AQ23" si="8">SUM(AM16:AP16)</f>
        <v>-2983028</v>
      </c>
      <c r="AS16" s="134">
        <v>-717854</v>
      </c>
      <c r="AT16" s="134">
        <v>-685557</v>
      </c>
      <c r="AU16" s="134">
        <v>-747263</v>
      </c>
      <c r="AV16" s="134">
        <v>-832354</v>
      </c>
      <c r="AW16" s="134">
        <f t="shared" ref="AW16:AW23" si="9">SUM(AS16:AV16)</f>
        <v>-2983028</v>
      </c>
      <c r="AX16" s="134">
        <v>-746551</v>
      </c>
      <c r="AY16" s="134">
        <v>-721356</v>
      </c>
      <c r="AZ16" s="134">
        <v>-717320</v>
      </c>
      <c r="BA16" s="134">
        <v>-743781</v>
      </c>
      <c r="BB16" s="134">
        <f t="shared" ref="BB16:BB23" si="10">SUM(AX16:BA16)</f>
        <v>-2929008</v>
      </c>
      <c r="BC16" s="134">
        <v>-652362</v>
      </c>
      <c r="BD16" s="135">
        <v>-77134</v>
      </c>
      <c r="BE16" s="135">
        <v>-109674</v>
      </c>
      <c r="BF16" s="135">
        <v>-206173</v>
      </c>
      <c r="BG16" s="135">
        <f t="shared" ref="BG16:BG23" si="11">SUM(BC16:BF16)</f>
        <v>-1045343</v>
      </c>
      <c r="BH16" s="134">
        <v>-265602.54801462922</v>
      </c>
      <c r="BI16" s="134">
        <v>-267474</v>
      </c>
      <c r="BJ16" s="134">
        <v>-392745</v>
      </c>
      <c r="BK16" s="134">
        <v>-561955</v>
      </c>
      <c r="BL16" s="135">
        <f t="shared" ref="BL16:BL23" si="12">SUM(BH16:BK16)</f>
        <v>-1487776.5480146292</v>
      </c>
      <c r="BM16" s="134">
        <v>-750570</v>
      </c>
      <c r="BN16" s="134">
        <v>-948908</v>
      </c>
      <c r="BO16" s="134">
        <v>-1110177</v>
      </c>
      <c r="BP16" s="134">
        <f>SUM(BM16:BO16)</f>
        <v>-2809655</v>
      </c>
      <c r="BQ16" s="134">
        <f t="shared" ref="BQ16:BQ24" si="13">BP16*4/3</f>
        <v>-3746206.6666666665</v>
      </c>
    </row>
    <row r="17" spans="2:69" x14ac:dyDescent="0.2">
      <c r="B17" s="133" t="s">
        <v>666</v>
      </c>
      <c r="C17" s="105" t="s">
        <v>687</v>
      </c>
      <c r="D17" s="134">
        <v>-115937.77221987872</v>
      </c>
      <c r="E17" s="134">
        <v>-100236.97825016773</v>
      </c>
      <c r="F17" s="134">
        <v>-118756</v>
      </c>
      <c r="G17" s="134">
        <v>-127924.05540287701</v>
      </c>
      <c r="H17" s="134">
        <v>-462854.80587292346</v>
      </c>
      <c r="I17" s="134">
        <v>-115276</v>
      </c>
      <c r="J17" s="134">
        <v>-110276</v>
      </c>
      <c r="K17" s="134">
        <v>-108201</v>
      </c>
      <c r="L17" s="134">
        <v>-83372</v>
      </c>
      <c r="M17" s="134">
        <v>-417124</v>
      </c>
      <c r="N17" s="134">
        <v>-90189</v>
      </c>
      <c r="O17" s="134">
        <v>-89244</v>
      </c>
      <c r="P17" s="134">
        <v>-113547</v>
      </c>
      <c r="Q17" s="134">
        <v>-115692</v>
      </c>
      <c r="R17" s="134">
        <v>-408671</v>
      </c>
      <c r="S17" s="134">
        <v>-105540</v>
      </c>
      <c r="T17" s="134">
        <v>-103091</v>
      </c>
      <c r="U17" s="134">
        <v>-95680</v>
      </c>
      <c r="V17" s="134">
        <v>-61197</v>
      </c>
      <c r="W17" s="134">
        <v>-365508</v>
      </c>
      <c r="X17" s="134">
        <v>-82563</v>
      </c>
      <c r="Y17" s="134">
        <v>-71520</v>
      </c>
      <c r="Z17" s="134">
        <v>-81769</v>
      </c>
      <c r="AA17" s="134">
        <v>-66922</v>
      </c>
      <c r="AB17" s="134">
        <v>-302774</v>
      </c>
      <c r="AC17" s="134">
        <v>-66629</v>
      </c>
      <c r="AD17" s="134">
        <v>-60557</v>
      </c>
      <c r="AE17" s="134">
        <v>-67473</v>
      </c>
      <c r="AF17" s="134">
        <v>-74637</v>
      </c>
      <c r="AG17" s="134">
        <f t="shared" si="6"/>
        <v>-269296</v>
      </c>
      <c r="AH17" s="134">
        <v>-61692</v>
      </c>
      <c r="AI17" s="134">
        <v>-57503</v>
      </c>
      <c r="AJ17" s="134">
        <v>-83155</v>
      </c>
      <c r="AK17" s="134">
        <v>-50125</v>
      </c>
      <c r="AL17" s="134">
        <f t="shared" si="7"/>
        <v>-252475</v>
      </c>
      <c r="AM17" s="134">
        <v>-60120</v>
      </c>
      <c r="AN17" s="134">
        <v>-54116</v>
      </c>
      <c r="AO17" s="134">
        <v>-48954</v>
      </c>
      <c r="AP17" s="134">
        <v>-59317</v>
      </c>
      <c r="AQ17" s="134">
        <f t="shared" si="8"/>
        <v>-222507</v>
      </c>
      <c r="AS17" s="134">
        <v>-60120</v>
      </c>
      <c r="AT17" s="134">
        <v>-54116</v>
      </c>
      <c r="AU17" s="134">
        <v>-48954</v>
      </c>
      <c r="AV17" s="134">
        <v>-59317</v>
      </c>
      <c r="AW17" s="134">
        <f t="shared" si="9"/>
        <v>-222507</v>
      </c>
      <c r="AX17" s="134">
        <v>-54066</v>
      </c>
      <c r="AY17" s="134">
        <v>-52707</v>
      </c>
      <c r="AZ17" s="134">
        <v>-59800</v>
      </c>
      <c r="BA17" s="134">
        <v>-55311</v>
      </c>
      <c r="BB17" s="134">
        <f t="shared" si="10"/>
        <v>-221884</v>
      </c>
      <c r="BC17" s="134">
        <v>-56118</v>
      </c>
      <c r="BD17" s="135">
        <v>-5877</v>
      </c>
      <c r="BE17" s="135">
        <v>-10137</v>
      </c>
      <c r="BF17" s="135">
        <v>-19776</v>
      </c>
      <c r="BG17" s="135">
        <f t="shared" si="11"/>
        <v>-91908</v>
      </c>
      <c r="BH17" s="134">
        <v>-14953.96358665257</v>
      </c>
      <c r="BI17" s="134">
        <v>-15263</v>
      </c>
      <c r="BJ17" s="134">
        <v>-21986</v>
      </c>
      <c r="BK17" s="134">
        <v>-37005</v>
      </c>
      <c r="BL17" s="135">
        <f t="shared" si="12"/>
        <v>-89207.963586652564</v>
      </c>
      <c r="BM17" s="134">
        <v>-28559</v>
      </c>
      <c r="BN17" s="134">
        <v>-41951</v>
      </c>
      <c r="BO17" s="134">
        <v>-46821</v>
      </c>
      <c r="BP17" s="134">
        <f t="shared" ref="BP17:BP24" si="14">SUM(BM17:BO17)</f>
        <v>-117331</v>
      </c>
      <c r="BQ17" s="134">
        <f t="shared" si="13"/>
        <v>-156441.33333333334</v>
      </c>
    </row>
    <row r="18" spans="2:69" x14ac:dyDescent="0.2">
      <c r="B18" s="133" t="s">
        <v>15</v>
      </c>
      <c r="C18" s="105" t="s">
        <v>687</v>
      </c>
      <c r="D18" s="134">
        <v>-270359</v>
      </c>
      <c r="E18" s="134">
        <v>-281244</v>
      </c>
      <c r="F18" s="134">
        <v>-285429</v>
      </c>
      <c r="G18" s="134">
        <v>-279013</v>
      </c>
      <c r="H18" s="134">
        <v>-1116045</v>
      </c>
      <c r="I18" s="134">
        <v>-277776</v>
      </c>
      <c r="J18" s="134">
        <v>-261716</v>
      </c>
      <c r="K18" s="134">
        <v>-271096</v>
      </c>
      <c r="L18" s="134">
        <v>-276436</v>
      </c>
      <c r="M18" s="134">
        <v>-1087024</v>
      </c>
      <c r="N18" s="134">
        <v>-290893</v>
      </c>
      <c r="O18" s="134">
        <v>-250944</v>
      </c>
      <c r="P18" s="134">
        <v>-249724</v>
      </c>
      <c r="Q18" s="134">
        <v>-250172</v>
      </c>
      <c r="R18" s="134">
        <v>-1041733</v>
      </c>
      <c r="S18" s="134">
        <v>-245590</v>
      </c>
      <c r="T18" s="134">
        <v>-247439</v>
      </c>
      <c r="U18" s="134">
        <v>-251231</v>
      </c>
      <c r="V18" s="134">
        <v>-247004</v>
      </c>
      <c r="W18" s="134">
        <v>-991264</v>
      </c>
      <c r="X18" s="134">
        <v>-237448</v>
      </c>
      <c r="Y18" s="134">
        <v>-235086</v>
      </c>
      <c r="Z18" s="134">
        <v>-233052</v>
      </c>
      <c r="AA18" s="134">
        <v>-228821</v>
      </c>
      <c r="AB18" s="134">
        <v>-934407</v>
      </c>
      <c r="AC18" s="134">
        <v>-239451</v>
      </c>
      <c r="AD18" s="134">
        <v>-230706</v>
      </c>
      <c r="AE18" s="134">
        <v>-243606</v>
      </c>
      <c r="AF18" s="134">
        <v>-246564</v>
      </c>
      <c r="AG18" s="134">
        <f t="shared" si="6"/>
        <v>-960327</v>
      </c>
      <c r="AH18" s="134">
        <v>-252215</v>
      </c>
      <c r="AI18" s="134">
        <v>-243492</v>
      </c>
      <c r="AJ18" s="134">
        <v>-252193</v>
      </c>
      <c r="AK18" s="134">
        <v>-253725</v>
      </c>
      <c r="AL18" s="134">
        <f t="shared" si="7"/>
        <v>-1001625</v>
      </c>
      <c r="AM18" s="134">
        <v>-251460</v>
      </c>
      <c r="AN18" s="134">
        <v>-237544</v>
      </c>
      <c r="AO18" s="134">
        <v>-245183</v>
      </c>
      <c r="AP18" s="134">
        <v>-247459</v>
      </c>
      <c r="AQ18" s="134">
        <f t="shared" si="8"/>
        <v>-981646</v>
      </c>
      <c r="AS18" s="134">
        <v>-348887</v>
      </c>
      <c r="AT18" s="134">
        <v>-337436</v>
      </c>
      <c r="AU18" s="134">
        <v>-344080</v>
      </c>
      <c r="AV18" s="134">
        <v>-342225</v>
      </c>
      <c r="AW18" s="134">
        <f t="shared" si="9"/>
        <v>-1372628</v>
      </c>
      <c r="AX18" s="134">
        <v>-351644</v>
      </c>
      <c r="AY18" s="134">
        <v>-351729</v>
      </c>
      <c r="AZ18" s="134">
        <v>-375841</v>
      </c>
      <c r="BA18" s="134">
        <v>-390762</v>
      </c>
      <c r="BB18" s="134">
        <f t="shared" si="10"/>
        <v>-1469976</v>
      </c>
      <c r="BC18" s="134">
        <v>-383122</v>
      </c>
      <c r="BD18" s="135">
        <v>-306832</v>
      </c>
      <c r="BE18" s="135">
        <v>-300090</v>
      </c>
      <c r="BF18" s="135">
        <v>-399343</v>
      </c>
      <c r="BG18" s="135">
        <f t="shared" si="11"/>
        <v>-1389387</v>
      </c>
      <c r="BH18" s="134">
        <v>-293209.16177275585</v>
      </c>
      <c r="BI18" s="134">
        <v>-268801</v>
      </c>
      <c r="BJ18" s="134">
        <v>-290855</v>
      </c>
      <c r="BK18" s="134">
        <v>-312529</v>
      </c>
      <c r="BL18" s="135">
        <f t="shared" si="12"/>
        <v>-1165394.1617727559</v>
      </c>
      <c r="BM18" s="134">
        <v>-292245</v>
      </c>
      <c r="BN18" s="134">
        <v>-283459</v>
      </c>
      <c r="BO18" s="134">
        <v>-303444</v>
      </c>
      <c r="BP18" s="134">
        <f>SUM(BM18:BO18)</f>
        <v>-879148</v>
      </c>
      <c r="BQ18" s="134">
        <f t="shared" si="13"/>
        <v>-1172197.3333333333</v>
      </c>
    </row>
    <row r="19" spans="2:69" x14ac:dyDescent="0.2">
      <c r="B19" s="133" t="s">
        <v>16</v>
      </c>
      <c r="C19" s="105" t="s">
        <v>687</v>
      </c>
      <c r="D19" s="134">
        <v>-317183</v>
      </c>
      <c r="E19" s="134">
        <v>-347362</v>
      </c>
      <c r="F19" s="134">
        <v>-348498</v>
      </c>
      <c r="G19" s="134">
        <v>-344186</v>
      </c>
      <c r="H19" s="134">
        <v>-1357229</v>
      </c>
      <c r="I19" s="134">
        <v>-338568</v>
      </c>
      <c r="J19" s="134">
        <v>-343395</v>
      </c>
      <c r="K19" s="134">
        <v>-337709</v>
      </c>
      <c r="L19" s="134">
        <v>-357380</v>
      </c>
      <c r="M19" s="134">
        <v>-1377053</v>
      </c>
      <c r="N19" s="134">
        <v>-359064</v>
      </c>
      <c r="O19" s="134">
        <v>-339692</v>
      </c>
      <c r="P19" s="134">
        <v>-335623</v>
      </c>
      <c r="Q19" s="134">
        <v>-338683</v>
      </c>
      <c r="R19" s="134">
        <v>-1373061</v>
      </c>
      <c r="S19" s="134">
        <v>-324071</v>
      </c>
      <c r="T19" s="134">
        <v>-339126</v>
      </c>
      <c r="U19" s="134">
        <v>-330120</v>
      </c>
      <c r="V19" s="134">
        <v>-333920</v>
      </c>
      <c r="W19" s="134">
        <v>-1327238</v>
      </c>
      <c r="X19" s="134">
        <v>-285905</v>
      </c>
      <c r="Y19" s="134">
        <v>-272478</v>
      </c>
      <c r="Z19" s="134">
        <v>-275688</v>
      </c>
      <c r="AA19" s="134">
        <v>-275754</v>
      </c>
      <c r="AB19" s="134">
        <v>-1109825</v>
      </c>
      <c r="AC19" s="134">
        <v>-261051</v>
      </c>
      <c r="AD19" s="134">
        <v>-260601</v>
      </c>
      <c r="AE19" s="134">
        <v>-270588</v>
      </c>
      <c r="AF19" s="134">
        <v>-285166</v>
      </c>
      <c r="AG19" s="134">
        <f t="shared" si="6"/>
        <v>-1077406</v>
      </c>
      <c r="AH19" s="134">
        <v>-278219</v>
      </c>
      <c r="AI19" s="134">
        <v>-272350</v>
      </c>
      <c r="AJ19" s="134">
        <v>-307131</v>
      </c>
      <c r="AK19" s="134">
        <v>-314429</v>
      </c>
      <c r="AL19" s="134">
        <f t="shared" si="7"/>
        <v>-1172129</v>
      </c>
      <c r="AM19" s="134">
        <v>-310218</v>
      </c>
      <c r="AN19" s="134">
        <v>-297961</v>
      </c>
      <c r="AO19" s="134">
        <v>-297963</v>
      </c>
      <c r="AP19" s="134">
        <v>-311504</v>
      </c>
      <c r="AQ19" s="134">
        <f t="shared" si="8"/>
        <v>-1217646</v>
      </c>
      <c r="AS19" s="134">
        <v>-311610</v>
      </c>
      <c r="AT19" s="134">
        <v>-295390</v>
      </c>
      <c r="AU19" s="134">
        <v>-290586</v>
      </c>
      <c r="AV19" s="134">
        <v>-309295</v>
      </c>
      <c r="AW19" s="134">
        <f t="shared" si="9"/>
        <v>-1206881</v>
      </c>
      <c r="AX19" s="134">
        <v>-322821</v>
      </c>
      <c r="AY19" s="134">
        <v>-303404</v>
      </c>
      <c r="AZ19" s="134">
        <v>-310419</v>
      </c>
      <c r="BA19" s="134">
        <v>-339215</v>
      </c>
      <c r="BB19" s="134">
        <f t="shared" si="10"/>
        <v>-1275859</v>
      </c>
      <c r="BC19" s="134">
        <v>-285140</v>
      </c>
      <c r="BD19" s="135">
        <v>-113577</v>
      </c>
      <c r="BE19" s="135">
        <v>-128215</v>
      </c>
      <c r="BF19" s="135">
        <v>-193072</v>
      </c>
      <c r="BG19" s="135">
        <f t="shared" si="11"/>
        <v>-720004</v>
      </c>
      <c r="BH19" s="134">
        <v>-166208.95924240898</v>
      </c>
      <c r="BI19" s="134">
        <v>-167537</v>
      </c>
      <c r="BJ19" s="134">
        <v>-193898</v>
      </c>
      <c r="BK19" s="134">
        <v>-227544</v>
      </c>
      <c r="BL19" s="135">
        <f t="shared" si="12"/>
        <v>-755187.95924240898</v>
      </c>
      <c r="BM19" s="134">
        <v>-224445</v>
      </c>
      <c r="BN19" s="134">
        <v>-255430</v>
      </c>
      <c r="BO19" s="134">
        <v>-292139</v>
      </c>
      <c r="BP19" s="134">
        <f t="shared" si="14"/>
        <v>-772014</v>
      </c>
      <c r="BQ19" s="134">
        <f t="shared" si="13"/>
        <v>-1029352</v>
      </c>
    </row>
    <row r="20" spans="2:69" x14ac:dyDescent="0.2">
      <c r="B20" s="133" t="s">
        <v>17</v>
      </c>
      <c r="C20" s="105" t="s">
        <v>687</v>
      </c>
      <c r="D20" s="134">
        <v>-92317</v>
      </c>
      <c r="E20" s="134">
        <v>-85597</v>
      </c>
      <c r="F20" s="134">
        <v>-85159</v>
      </c>
      <c r="G20" s="134">
        <v>-73137</v>
      </c>
      <c r="H20" s="134">
        <v>-336210</v>
      </c>
      <c r="I20" s="134">
        <v>-82160</v>
      </c>
      <c r="J20" s="134">
        <v>-66394</v>
      </c>
      <c r="K20" s="134">
        <v>-83670</v>
      </c>
      <c r="L20" s="134">
        <v>-82698</v>
      </c>
      <c r="M20" s="134">
        <v>-314921</v>
      </c>
      <c r="N20" s="134">
        <v>-84519</v>
      </c>
      <c r="O20" s="134">
        <v>-85919</v>
      </c>
      <c r="P20" s="134">
        <v>-77776</v>
      </c>
      <c r="Q20" s="134">
        <v>-83191</v>
      </c>
      <c r="R20" s="134">
        <v>-331405</v>
      </c>
      <c r="S20" s="134">
        <v>-75817</v>
      </c>
      <c r="T20" s="134">
        <v>-73109</v>
      </c>
      <c r="U20" s="134">
        <v>-79603</v>
      </c>
      <c r="V20" s="134">
        <v>-71796</v>
      </c>
      <c r="W20" s="134">
        <v>-300325</v>
      </c>
      <c r="X20" s="134">
        <v>-77762</v>
      </c>
      <c r="Y20" s="134">
        <v>-66757</v>
      </c>
      <c r="Z20" s="134">
        <v>-78161</v>
      </c>
      <c r="AA20" s="134">
        <v>-72760</v>
      </c>
      <c r="AB20" s="134">
        <v>-295440</v>
      </c>
      <c r="AC20" s="134">
        <v>-77452</v>
      </c>
      <c r="AD20" s="134">
        <v>-62824</v>
      </c>
      <c r="AE20" s="134">
        <v>-70230</v>
      </c>
      <c r="AF20" s="134">
        <v>-76116</v>
      </c>
      <c r="AG20" s="134">
        <f t="shared" si="6"/>
        <v>-286622</v>
      </c>
      <c r="AH20" s="134">
        <v>-74316</v>
      </c>
      <c r="AI20" s="134">
        <v>-62076</v>
      </c>
      <c r="AJ20" s="134">
        <v>-69634</v>
      </c>
      <c r="AK20" s="134">
        <v>-82636</v>
      </c>
      <c r="AL20" s="134">
        <f t="shared" si="7"/>
        <v>-288662</v>
      </c>
      <c r="AM20" s="134">
        <v>-79756</v>
      </c>
      <c r="AN20" s="134">
        <v>-76004</v>
      </c>
      <c r="AO20" s="134">
        <v>-69050</v>
      </c>
      <c r="AP20" s="134">
        <v>-55469</v>
      </c>
      <c r="AQ20" s="134">
        <f t="shared" si="8"/>
        <v>-280279</v>
      </c>
      <c r="AS20" s="134">
        <v>-79756</v>
      </c>
      <c r="AT20" s="134">
        <v>-76004</v>
      </c>
      <c r="AU20" s="134">
        <v>-69050</v>
      </c>
      <c r="AV20" s="134">
        <v>-55469</v>
      </c>
      <c r="AW20" s="134">
        <f t="shared" si="9"/>
        <v>-280279</v>
      </c>
      <c r="AX20" s="134">
        <v>-64246</v>
      </c>
      <c r="AY20" s="134">
        <v>-64329</v>
      </c>
      <c r="AZ20" s="134">
        <v>-62734</v>
      </c>
      <c r="BA20" s="134">
        <v>-70021</v>
      </c>
      <c r="BB20" s="134">
        <f t="shared" si="10"/>
        <v>-261330</v>
      </c>
      <c r="BC20" s="134">
        <v>-50526</v>
      </c>
      <c r="BD20" s="135">
        <v>-18006</v>
      </c>
      <c r="BE20" s="135">
        <v>-12565</v>
      </c>
      <c r="BF20" s="135">
        <v>-16592</v>
      </c>
      <c r="BG20" s="135">
        <f t="shared" si="11"/>
        <v>-97689</v>
      </c>
      <c r="BH20" s="134">
        <v>-15789.937950207517</v>
      </c>
      <c r="BI20" s="134">
        <v>-15529</v>
      </c>
      <c r="BJ20" s="134">
        <v>-17184</v>
      </c>
      <c r="BK20" s="134">
        <v>-28860</v>
      </c>
      <c r="BL20" s="135">
        <f t="shared" si="12"/>
        <v>-77362.937950207517</v>
      </c>
      <c r="BM20" s="134">
        <v>-33354</v>
      </c>
      <c r="BN20" s="134">
        <v>-36957</v>
      </c>
      <c r="BO20" s="134">
        <v>-48500</v>
      </c>
      <c r="BP20" s="134">
        <f t="shared" si="14"/>
        <v>-118811</v>
      </c>
      <c r="BQ20" s="134">
        <f t="shared" si="13"/>
        <v>-158414.66666666666</v>
      </c>
    </row>
    <row r="21" spans="2:69" x14ac:dyDescent="0.2">
      <c r="B21" s="133" t="s">
        <v>18</v>
      </c>
      <c r="C21" s="105" t="s">
        <v>687</v>
      </c>
      <c r="D21" s="134">
        <v>-94420</v>
      </c>
      <c r="E21" s="134">
        <v>-101140</v>
      </c>
      <c r="F21" s="134">
        <v>-101952</v>
      </c>
      <c r="G21" s="134">
        <v>-102760</v>
      </c>
      <c r="H21" s="134">
        <v>-400272</v>
      </c>
      <c r="I21" s="134">
        <v>-102281</v>
      </c>
      <c r="J21" s="134">
        <v>-103294</v>
      </c>
      <c r="K21" s="134">
        <v>-101506</v>
      </c>
      <c r="L21" s="134">
        <v>-114955</v>
      </c>
      <c r="M21" s="134">
        <v>-422036</v>
      </c>
      <c r="N21" s="134">
        <v>-106500</v>
      </c>
      <c r="O21" s="134">
        <v>-92713</v>
      </c>
      <c r="P21" s="134">
        <v>-116147</v>
      </c>
      <c r="Q21" s="134">
        <v>-125717</v>
      </c>
      <c r="R21" s="134">
        <v>-441077</v>
      </c>
      <c r="S21" s="134">
        <v>-127868</v>
      </c>
      <c r="T21" s="134">
        <v>-133205</v>
      </c>
      <c r="U21" s="134">
        <v>-131742</v>
      </c>
      <c r="V21" s="134">
        <v>-128569</v>
      </c>
      <c r="W21" s="134">
        <v>-521384</v>
      </c>
      <c r="X21" s="134">
        <v>-128899</v>
      </c>
      <c r="Y21" s="134">
        <v>-128793</v>
      </c>
      <c r="Z21" s="134">
        <v>-133442</v>
      </c>
      <c r="AA21" s="134">
        <v>-134000</v>
      </c>
      <c r="AB21" s="134">
        <v>-525134</v>
      </c>
      <c r="AC21" s="134">
        <v>-133603</v>
      </c>
      <c r="AD21" s="134">
        <v>-138554</v>
      </c>
      <c r="AE21" s="134">
        <v>-147443</v>
      </c>
      <c r="AF21" s="134">
        <v>-149379</v>
      </c>
      <c r="AG21" s="134">
        <f t="shared" si="6"/>
        <v>-568979</v>
      </c>
      <c r="AH21" s="134">
        <v>-150396</v>
      </c>
      <c r="AI21" s="134">
        <v>-153131</v>
      </c>
      <c r="AJ21" s="134">
        <v>-139553</v>
      </c>
      <c r="AK21" s="134">
        <v>-136472</v>
      </c>
      <c r="AL21" s="134">
        <f t="shared" si="7"/>
        <v>-579552</v>
      </c>
      <c r="AM21" s="134">
        <v>-135761</v>
      </c>
      <c r="AN21" s="134">
        <v>-137042</v>
      </c>
      <c r="AO21" s="134">
        <v>-133395</v>
      </c>
      <c r="AP21" s="134">
        <v>-132149</v>
      </c>
      <c r="AQ21" s="134">
        <f t="shared" si="8"/>
        <v>-538347</v>
      </c>
      <c r="AS21" s="134">
        <v>0</v>
      </c>
      <c r="AT21" s="134">
        <v>0</v>
      </c>
      <c r="AU21" s="134">
        <v>0</v>
      </c>
      <c r="AV21" s="134">
        <v>0</v>
      </c>
      <c r="AW21" s="134">
        <f t="shared" si="9"/>
        <v>0</v>
      </c>
      <c r="AX21" s="134">
        <v>0</v>
      </c>
      <c r="AY21" s="134">
        <v>0</v>
      </c>
      <c r="AZ21" s="134">
        <v>0</v>
      </c>
      <c r="BA21" s="134">
        <v>0</v>
      </c>
      <c r="BB21" s="134">
        <f t="shared" si="10"/>
        <v>0</v>
      </c>
      <c r="BC21" s="134">
        <v>0</v>
      </c>
      <c r="BD21" s="135">
        <v>0</v>
      </c>
      <c r="BE21" s="135">
        <v>0</v>
      </c>
      <c r="BF21" s="135">
        <v>0</v>
      </c>
      <c r="BG21" s="135">
        <f t="shared" si="11"/>
        <v>0</v>
      </c>
      <c r="BH21" s="134">
        <v>0</v>
      </c>
      <c r="BI21" s="134">
        <v>-15045</v>
      </c>
      <c r="BJ21" s="134">
        <v>-43465</v>
      </c>
      <c r="BK21" s="134">
        <v>-62119</v>
      </c>
      <c r="BL21" s="135">
        <f t="shared" si="12"/>
        <v>-120629</v>
      </c>
      <c r="BM21" s="134">
        <v>-69608</v>
      </c>
      <c r="BN21" s="134">
        <v>-73676</v>
      </c>
      <c r="BO21" s="134">
        <v>-32853</v>
      </c>
      <c r="BP21" s="134">
        <f t="shared" si="14"/>
        <v>-176137</v>
      </c>
      <c r="BQ21" s="134">
        <f t="shared" si="13"/>
        <v>-234849.33333333334</v>
      </c>
    </row>
    <row r="22" spans="2:69" x14ac:dyDescent="0.2">
      <c r="B22" s="133" t="s">
        <v>19</v>
      </c>
      <c r="C22" s="105" t="s">
        <v>687</v>
      </c>
      <c r="D22" s="134">
        <v>-90788.676073815004</v>
      </c>
      <c r="E22" s="134">
        <v>-84053.584716495272</v>
      </c>
      <c r="F22" s="134">
        <v>-87547.151797332685</v>
      </c>
      <c r="G22" s="134">
        <v>-85858.587412357039</v>
      </c>
      <c r="H22" s="134">
        <v>-348248</v>
      </c>
      <c r="I22" s="134">
        <v>-104191</v>
      </c>
      <c r="J22" s="134">
        <v>-128947</v>
      </c>
      <c r="K22" s="134">
        <v>-94435</v>
      </c>
      <c r="L22" s="134">
        <v>-96777</v>
      </c>
      <c r="M22" s="134">
        <v>-424350</v>
      </c>
      <c r="N22" s="134">
        <v>-108383</v>
      </c>
      <c r="O22" s="134">
        <v>-128969</v>
      </c>
      <c r="P22" s="134">
        <v>-114795</v>
      </c>
      <c r="Q22" s="134">
        <v>-124939</v>
      </c>
      <c r="R22" s="134">
        <v>-477086</v>
      </c>
      <c r="S22" s="134">
        <v>-130331</v>
      </c>
      <c r="T22" s="134">
        <v>-100709</v>
      </c>
      <c r="U22" s="134">
        <v>-114993</v>
      </c>
      <c r="V22" s="134">
        <v>-106699</v>
      </c>
      <c r="W22" s="134">
        <v>-452731</v>
      </c>
      <c r="X22" s="134">
        <v>-113974</v>
      </c>
      <c r="Y22" s="134">
        <v>-115725</v>
      </c>
      <c r="Z22" s="134">
        <v>-122990</v>
      </c>
      <c r="AA22" s="134">
        <v>-84547</v>
      </c>
      <c r="AB22" s="134">
        <v>-437236</v>
      </c>
      <c r="AC22" s="134">
        <v>-94796</v>
      </c>
      <c r="AD22" s="134">
        <v>-86949</v>
      </c>
      <c r="AE22" s="134">
        <v>-107898</v>
      </c>
      <c r="AF22" s="134">
        <v>-76510</v>
      </c>
      <c r="AG22" s="134">
        <f t="shared" si="6"/>
        <v>-366153</v>
      </c>
      <c r="AH22" s="134">
        <v>-85186</v>
      </c>
      <c r="AI22" s="134">
        <v>-122821</v>
      </c>
      <c r="AJ22" s="134">
        <v>-105583</v>
      </c>
      <c r="AK22" s="134">
        <v>-117234</v>
      </c>
      <c r="AL22" s="134">
        <f t="shared" si="7"/>
        <v>-430824</v>
      </c>
      <c r="AM22" s="134">
        <v>-101642</v>
      </c>
      <c r="AN22" s="134">
        <v>-112631</v>
      </c>
      <c r="AO22" s="134">
        <v>-85190</v>
      </c>
      <c r="AP22" s="134">
        <v>-82780</v>
      </c>
      <c r="AQ22" s="134">
        <f t="shared" si="8"/>
        <v>-382243</v>
      </c>
      <c r="AS22" s="134">
        <v>-98677</v>
      </c>
      <c r="AT22" s="134">
        <v>-108113</v>
      </c>
      <c r="AU22" s="134">
        <v>-83235</v>
      </c>
      <c r="AV22" s="134">
        <v>-76602</v>
      </c>
      <c r="AW22" s="134">
        <f t="shared" si="9"/>
        <v>-366627</v>
      </c>
      <c r="AX22" s="134">
        <v>-104056</v>
      </c>
      <c r="AY22" s="134">
        <v>-107955</v>
      </c>
      <c r="AZ22" s="134">
        <v>-104551</v>
      </c>
      <c r="BA22" s="134">
        <v>-128050</v>
      </c>
      <c r="BB22" s="134">
        <f t="shared" si="10"/>
        <v>-444612</v>
      </c>
      <c r="BC22" s="134">
        <v>-93895</v>
      </c>
      <c r="BD22" s="135">
        <v>-139924</v>
      </c>
      <c r="BE22" s="135">
        <v>-68297</v>
      </c>
      <c r="BF22" s="135">
        <v>-170266</v>
      </c>
      <c r="BG22" s="135">
        <f t="shared" si="11"/>
        <v>-472382</v>
      </c>
      <c r="BH22" s="134">
        <v>-102454.54935394626</v>
      </c>
      <c r="BI22" s="134">
        <v>-103231</v>
      </c>
      <c r="BJ22" s="134">
        <v>-206319</v>
      </c>
      <c r="BK22" s="134">
        <v>-121734</v>
      </c>
      <c r="BL22" s="135">
        <f t="shared" si="12"/>
        <v>-533738.54935394623</v>
      </c>
      <c r="BM22" s="134">
        <v>-155544</v>
      </c>
      <c r="BN22" s="134">
        <v>-144741</v>
      </c>
      <c r="BO22" s="134">
        <v>-138511</v>
      </c>
      <c r="BP22" s="134">
        <f t="shared" si="14"/>
        <v>-438796</v>
      </c>
      <c r="BQ22" s="134">
        <f t="shared" si="13"/>
        <v>-585061.33333333337</v>
      </c>
    </row>
    <row r="23" spans="2:69" x14ac:dyDescent="0.2">
      <c r="B23" s="133" t="s">
        <v>667</v>
      </c>
      <c r="C23" s="105" t="s">
        <v>687</v>
      </c>
      <c r="D23" s="134">
        <v>-335954</v>
      </c>
      <c r="E23" s="134">
        <v>-398384</v>
      </c>
      <c r="F23" s="134">
        <v>-380257</v>
      </c>
      <c r="G23" s="134">
        <v>-411668</v>
      </c>
      <c r="H23" s="134">
        <v>-1526263</v>
      </c>
      <c r="I23" s="134">
        <v>-411603</v>
      </c>
      <c r="J23" s="134">
        <v>-394922</v>
      </c>
      <c r="K23" s="134">
        <v>-426785</v>
      </c>
      <c r="L23" s="134">
        <v>-478290</v>
      </c>
      <c r="M23" s="134">
        <v>-1711600</v>
      </c>
      <c r="N23" s="134">
        <v>-392693</v>
      </c>
      <c r="O23" s="134">
        <v>-404501</v>
      </c>
      <c r="P23" s="134">
        <v>-416791</v>
      </c>
      <c r="Q23" s="134">
        <v>-428161</v>
      </c>
      <c r="R23" s="134">
        <v>-1642146</v>
      </c>
      <c r="S23" s="134">
        <v>-375645</v>
      </c>
      <c r="T23" s="134">
        <v>-392023</v>
      </c>
      <c r="U23" s="134">
        <v>-364419</v>
      </c>
      <c r="V23" s="134">
        <v>-350111</v>
      </c>
      <c r="W23" s="134">
        <v>-1482198</v>
      </c>
      <c r="X23" s="134">
        <v>-317858</v>
      </c>
      <c r="Y23" s="134">
        <v>-302146</v>
      </c>
      <c r="Z23" s="134">
        <v>-302959</v>
      </c>
      <c r="AA23" s="134">
        <v>-360257</v>
      </c>
      <c r="AB23" s="134">
        <v>-1283220</v>
      </c>
      <c r="AC23" s="134">
        <v>-285377.00000515382</v>
      </c>
      <c r="AD23" s="134">
        <v>-354725</v>
      </c>
      <c r="AE23" s="134">
        <v>-370296</v>
      </c>
      <c r="AF23" s="134">
        <v>-412229</v>
      </c>
      <c r="AG23" s="134">
        <f t="shared" si="6"/>
        <v>-1422627.0000051539</v>
      </c>
      <c r="AH23" s="134">
        <v>-302898</v>
      </c>
      <c r="AI23" s="134">
        <v>-350889</v>
      </c>
      <c r="AJ23" s="134">
        <v>-355517</v>
      </c>
      <c r="AK23" s="134">
        <v>-372242</v>
      </c>
      <c r="AL23" s="134">
        <f t="shared" si="7"/>
        <v>-1381546</v>
      </c>
      <c r="AM23" s="134">
        <v>-330646</v>
      </c>
      <c r="AN23" s="134">
        <v>-314276</v>
      </c>
      <c r="AO23" s="134">
        <v>-286688</v>
      </c>
      <c r="AP23" s="134">
        <v>-305820</v>
      </c>
      <c r="AQ23" s="134">
        <f t="shared" si="8"/>
        <v>-1237430</v>
      </c>
      <c r="AS23" s="134">
        <v>-328645</v>
      </c>
      <c r="AT23" s="134">
        <v>-312344</v>
      </c>
      <c r="AU23" s="134">
        <v>-284705</v>
      </c>
      <c r="AV23" s="134">
        <v>-303618</v>
      </c>
      <c r="AW23" s="134">
        <f t="shared" si="9"/>
        <v>-1229312</v>
      </c>
      <c r="AX23" s="134">
        <v>-323750</v>
      </c>
      <c r="AY23" s="134">
        <v>-296043</v>
      </c>
      <c r="AZ23" s="134">
        <v>-318774</v>
      </c>
      <c r="BA23" s="134">
        <v>-353328</v>
      </c>
      <c r="BB23" s="134">
        <f t="shared" si="10"/>
        <v>-1291895</v>
      </c>
      <c r="BC23" s="134">
        <v>-329105</v>
      </c>
      <c r="BD23" s="135">
        <v>-431293</v>
      </c>
      <c r="BE23" s="135">
        <v>-252477</v>
      </c>
      <c r="BF23" s="135">
        <v>-208309</v>
      </c>
      <c r="BG23" s="135">
        <f t="shared" si="11"/>
        <v>-1221184</v>
      </c>
      <c r="BH23" s="134">
        <v>-176368.21952382871</v>
      </c>
      <c r="BI23" s="134">
        <v>-161430</v>
      </c>
      <c r="BJ23" s="134">
        <v>-373950</v>
      </c>
      <c r="BK23" s="134">
        <v>-247677</v>
      </c>
      <c r="BL23" s="135">
        <f t="shared" si="12"/>
        <v>-959425.21952382871</v>
      </c>
      <c r="BM23" s="134">
        <v>-258608</v>
      </c>
      <c r="BN23" s="134">
        <v>-337320</v>
      </c>
      <c r="BO23" s="134">
        <v>-249687</v>
      </c>
      <c r="BP23" s="134">
        <f t="shared" si="14"/>
        <v>-845615</v>
      </c>
      <c r="BQ23" s="134">
        <f t="shared" si="13"/>
        <v>-1127486.6666666667</v>
      </c>
    </row>
    <row r="24" spans="2:69" x14ac:dyDescent="0.2">
      <c r="B24" s="137" t="s">
        <v>22</v>
      </c>
      <c r="C24" s="138" t="s">
        <v>687</v>
      </c>
      <c r="D24" s="146">
        <v>-2954934.4482936938</v>
      </c>
      <c r="E24" s="146">
        <v>-3155219.5629666629</v>
      </c>
      <c r="F24" s="146">
        <v>-3011813.1517973328</v>
      </c>
      <c r="G24" s="146">
        <v>-3178385.6428152337</v>
      </c>
      <c r="H24" s="146">
        <v>-12300352.805872925</v>
      </c>
      <c r="I24" s="146">
        <v>-3308866</v>
      </c>
      <c r="J24" s="146">
        <v>-3206023</v>
      </c>
      <c r="K24" s="146">
        <v>-3233599</v>
      </c>
      <c r="L24" s="146">
        <v>-3382229</v>
      </c>
      <c r="M24" s="146">
        <v>-13130717</v>
      </c>
      <c r="N24" s="146">
        <v>-3294766</v>
      </c>
      <c r="O24" s="146">
        <v>-3059551</v>
      </c>
      <c r="P24" s="146">
        <v>-3105194</v>
      </c>
      <c r="Q24" s="146">
        <v>-3162687</v>
      </c>
      <c r="R24" s="146">
        <v>-12622197</v>
      </c>
      <c r="S24" s="146">
        <v>-3064813</v>
      </c>
      <c r="T24" s="146">
        <v>-3032367</v>
      </c>
      <c r="U24" s="146">
        <v>-3022927</v>
      </c>
      <c r="V24" s="146">
        <v>-2837672</v>
      </c>
      <c r="W24" s="146">
        <v>-11957780</v>
      </c>
      <c r="X24" s="146">
        <v>-2564162</v>
      </c>
      <c r="Y24" s="146">
        <v>-2395637</v>
      </c>
      <c r="Z24" s="146">
        <v>-2394252</v>
      </c>
      <c r="AA24" s="146">
        <v>-2257856</v>
      </c>
      <c r="AB24" s="146">
        <v>-9611907</v>
      </c>
      <c r="AC24" s="146">
        <f t="shared" ref="AC24:AL24" si="15">SUM(AC15:AC23)</f>
        <v>-2108507.0000051539</v>
      </c>
      <c r="AD24" s="146">
        <f t="shared" si="15"/>
        <v>-2109327</v>
      </c>
      <c r="AE24" s="146">
        <f t="shared" si="15"/>
        <v>-2367207</v>
      </c>
      <c r="AF24" s="146">
        <f t="shared" si="15"/>
        <v>-2374144</v>
      </c>
      <c r="AG24" s="146">
        <f t="shared" si="15"/>
        <v>-8959185.0000051539</v>
      </c>
      <c r="AH24" s="146">
        <f t="shared" si="15"/>
        <v>-2325171</v>
      </c>
      <c r="AI24" s="146">
        <f t="shared" si="15"/>
        <v>-2225531</v>
      </c>
      <c r="AJ24" s="146">
        <f t="shared" si="15"/>
        <v>-2401005</v>
      </c>
      <c r="AK24" s="146">
        <f t="shared" si="15"/>
        <v>-2497555</v>
      </c>
      <c r="AL24" s="146">
        <f t="shared" si="15"/>
        <v>-9449262</v>
      </c>
      <c r="AM24" s="146">
        <f>SUM(AM15:AM23)</f>
        <v>-2502000</v>
      </c>
      <c r="AN24" s="146">
        <f t="shared" ref="AN24:AQ24" si="16">SUM(AN15:AN23)</f>
        <v>-2350874</v>
      </c>
      <c r="AO24" s="146">
        <f t="shared" si="16"/>
        <v>-2317031</v>
      </c>
      <c r="AP24" s="146">
        <f t="shared" si="16"/>
        <v>-2493190</v>
      </c>
      <c r="AQ24" s="146">
        <f t="shared" si="16"/>
        <v>-9663095</v>
      </c>
      <c r="AS24" s="146">
        <f>SUM(AS15:AS23)</f>
        <v>-2460092</v>
      </c>
      <c r="AT24" s="146">
        <f t="shared" ref="AT24:AZ24" si="17">SUM(AT15:AT23)</f>
        <v>-2304703</v>
      </c>
      <c r="AU24" s="146">
        <f t="shared" si="17"/>
        <v>-2271218</v>
      </c>
      <c r="AV24" s="146">
        <f t="shared" si="17"/>
        <v>-2445218</v>
      </c>
      <c r="AW24" s="146">
        <f t="shared" si="17"/>
        <v>-9481231</v>
      </c>
      <c r="AX24" s="146">
        <f t="shared" si="17"/>
        <v>-2443146</v>
      </c>
      <c r="AY24" s="146">
        <f t="shared" si="17"/>
        <v>-2329764</v>
      </c>
      <c r="AZ24" s="146">
        <f t="shared" si="17"/>
        <v>-2396211</v>
      </c>
      <c r="BA24" s="146">
        <v>-2520205</v>
      </c>
      <c r="BB24" s="146">
        <f t="shared" ref="BB24:BO24" si="18">SUM(BB15:BB23)</f>
        <v>-9689326</v>
      </c>
      <c r="BC24" s="146">
        <f t="shared" si="18"/>
        <v>-2256383</v>
      </c>
      <c r="BD24" s="147">
        <f t="shared" si="18"/>
        <v>-1266694</v>
      </c>
      <c r="BE24" s="147">
        <f t="shared" si="18"/>
        <v>-1077592</v>
      </c>
      <c r="BF24" s="147">
        <f t="shared" si="18"/>
        <v>-1399288</v>
      </c>
      <c r="BG24" s="147">
        <f t="shared" si="18"/>
        <v>-5999957</v>
      </c>
      <c r="BH24" s="146">
        <f t="shared" si="18"/>
        <v>-1268896.1627305842</v>
      </c>
      <c r="BI24" s="146">
        <f t="shared" si="18"/>
        <v>-1246452</v>
      </c>
      <c r="BJ24" s="146">
        <f t="shared" si="18"/>
        <v>-1792847</v>
      </c>
      <c r="BK24" s="146">
        <f t="shared" si="18"/>
        <v>-1922427</v>
      </c>
      <c r="BL24" s="147">
        <f t="shared" si="18"/>
        <v>-6230622.1627305839</v>
      </c>
      <c r="BM24" s="146">
        <f t="shared" si="18"/>
        <v>-2097186</v>
      </c>
      <c r="BN24" s="146">
        <f t="shared" si="18"/>
        <v>-2412075</v>
      </c>
      <c r="BO24" s="146">
        <f t="shared" si="18"/>
        <v>-2524295</v>
      </c>
      <c r="BP24" s="134">
        <f t="shared" si="14"/>
        <v>-7033556</v>
      </c>
      <c r="BQ24" s="134">
        <f t="shared" si="13"/>
        <v>-9378074.666666666</v>
      </c>
    </row>
    <row r="25" spans="2:69" x14ac:dyDescent="0.2">
      <c r="B25" s="106" t="s">
        <v>669</v>
      </c>
      <c r="C25" s="105"/>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S25" s="134"/>
      <c r="AT25" s="134"/>
      <c r="AU25" s="134"/>
      <c r="AV25" s="134"/>
      <c r="AW25" s="134"/>
      <c r="AX25" s="134"/>
      <c r="AY25" s="134"/>
      <c r="AZ25" s="134"/>
      <c r="BA25" s="134"/>
      <c r="BB25" s="134"/>
      <c r="BC25" s="134"/>
      <c r="BD25" s="135"/>
      <c r="BE25" s="135"/>
      <c r="BF25" s="135"/>
      <c r="BG25" s="135"/>
      <c r="BH25" s="134"/>
      <c r="BI25" s="134"/>
      <c r="BJ25" s="134"/>
      <c r="BK25" s="134"/>
      <c r="BL25" s="135"/>
      <c r="BM25" s="134"/>
      <c r="BN25" s="134"/>
      <c r="BO25" s="134"/>
    </row>
    <row r="26" spans="2:69" x14ac:dyDescent="0.2">
      <c r="B26" s="148" t="s">
        <v>513</v>
      </c>
      <c r="C26" s="149" t="s">
        <v>687</v>
      </c>
      <c r="D26" s="150">
        <v>195286.32392618479</v>
      </c>
      <c r="E26" s="150">
        <v>43652.415283504874</v>
      </c>
      <c r="F26" s="150">
        <v>465024.8482026672</v>
      </c>
      <c r="G26" s="150">
        <v>306983.41258764314</v>
      </c>
      <c r="H26" s="150">
        <v>1010946.9999999981</v>
      </c>
      <c r="I26" s="150">
        <v>14706</v>
      </c>
      <c r="J26" s="150">
        <v>-116992</v>
      </c>
      <c r="K26" s="150">
        <v>105384</v>
      </c>
      <c r="L26" s="150">
        <v>88276</v>
      </c>
      <c r="M26" s="150">
        <v>91375</v>
      </c>
      <c r="N26" s="150">
        <v>114203</v>
      </c>
      <c r="O26" s="150">
        <v>39360</v>
      </c>
      <c r="P26" s="150">
        <v>255484</v>
      </c>
      <c r="Q26" s="150">
        <v>234859</v>
      </c>
      <c r="R26" s="150">
        <v>643905</v>
      </c>
      <c r="S26" s="150">
        <v>112622</v>
      </c>
      <c r="T26" s="150">
        <v>15361</v>
      </c>
      <c r="U26" s="150">
        <v>118373</v>
      </c>
      <c r="V26" s="150">
        <v>267011</v>
      </c>
      <c r="W26" s="150">
        <v>513366</v>
      </c>
      <c r="X26" s="150">
        <v>226980</v>
      </c>
      <c r="Y26" s="150">
        <v>17217</v>
      </c>
      <c r="Z26" s="150">
        <v>120570</v>
      </c>
      <c r="AA26" s="150">
        <v>149152</v>
      </c>
      <c r="AB26" s="150">
        <v>513919</v>
      </c>
      <c r="AC26" s="150">
        <v>219109.57281667599</v>
      </c>
      <c r="AD26" s="150">
        <v>1306</v>
      </c>
      <c r="AE26" s="150">
        <v>152319</v>
      </c>
      <c r="AF26" s="150">
        <f>AF12+AF24</f>
        <v>195168</v>
      </c>
      <c r="AG26" s="150">
        <f>SUM(AC26:AF26)</f>
        <v>567902.57281667599</v>
      </c>
      <c r="AH26" s="150">
        <f>AH12+AH24</f>
        <v>152278</v>
      </c>
      <c r="AI26" s="150">
        <f>AI12+AI24</f>
        <v>48203</v>
      </c>
      <c r="AJ26" s="150">
        <f>AJ12+AJ24</f>
        <v>244029</v>
      </c>
      <c r="AK26" s="150">
        <f>AK12+AK24</f>
        <v>270024</v>
      </c>
      <c r="AL26" s="150">
        <f>SUM(AH26:AK26)</f>
        <v>714534</v>
      </c>
      <c r="AM26" s="150">
        <f>AM12+AM24</f>
        <v>228536</v>
      </c>
      <c r="AN26" s="150">
        <f>AN12+AN24</f>
        <v>6480</v>
      </c>
      <c r="AO26" s="150">
        <f>AO12+AO24</f>
        <v>174950</v>
      </c>
      <c r="AP26" s="150">
        <f t="shared" ref="AP26:AQ26" si="19">AP12+AP24</f>
        <v>295153</v>
      </c>
      <c r="AQ26" s="150">
        <f t="shared" si="19"/>
        <v>705119</v>
      </c>
      <c r="AS26" s="150">
        <f>AS12+AS24</f>
        <v>270444</v>
      </c>
      <c r="AT26" s="150">
        <f>AT12+AT24</f>
        <v>52651</v>
      </c>
      <c r="AU26" s="150">
        <f>AU12+AU24</f>
        <v>220763</v>
      </c>
      <c r="AV26" s="150">
        <f t="shared" ref="AV26:BC26" si="20">AV12+AV24</f>
        <v>343125</v>
      </c>
      <c r="AW26" s="150">
        <f t="shared" si="20"/>
        <v>886983</v>
      </c>
      <c r="AX26" s="150">
        <f t="shared" si="20"/>
        <v>82122</v>
      </c>
      <c r="AY26" s="150">
        <f t="shared" si="20"/>
        <v>40193</v>
      </c>
      <c r="AZ26" s="150">
        <f t="shared" si="20"/>
        <v>268889</v>
      </c>
      <c r="BA26" s="150">
        <f t="shared" si="20"/>
        <v>350397</v>
      </c>
      <c r="BB26" s="150">
        <f t="shared" si="20"/>
        <v>741601</v>
      </c>
      <c r="BC26" s="150">
        <f t="shared" si="20"/>
        <v>95942</v>
      </c>
      <c r="BD26" s="151">
        <f>BD12+BD24</f>
        <v>-694810</v>
      </c>
      <c r="BE26" s="151">
        <f>BE12+BE24</f>
        <v>-564660</v>
      </c>
      <c r="BF26" s="151">
        <f>BF12+BF24</f>
        <v>-501760</v>
      </c>
      <c r="BG26" s="151">
        <f>BG12+BG24</f>
        <v>-1665288</v>
      </c>
      <c r="BH26" s="150">
        <f t="shared" ref="BH26:BK26" si="21">BH12+BH24</f>
        <v>-355731.98713460658</v>
      </c>
      <c r="BI26" s="150">
        <f t="shared" si="21"/>
        <v>-357747.61172402184</v>
      </c>
      <c r="BJ26" s="150">
        <f t="shared" si="21"/>
        <v>-479226</v>
      </c>
      <c r="BK26" s="150">
        <f t="shared" si="21"/>
        <v>73429.757180735935</v>
      </c>
      <c r="BL26" s="151">
        <f>BL12+BL24</f>
        <v>-1119275.841677892</v>
      </c>
      <c r="BM26" s="150">
        <f t="shared" ref="BM26:BO26" si="22">BM12+BM24</f>
        <v>-138155.26205581357</v>
      </c>
      <c r="BN26" s="150">
        <f t="shared" si="22"/>
        <v>-185988.41770787351</v>
      </c>
      <c r="BO26" s="150">
        <f t="shared" si="22"/>
        <v>63124.016290793195</v>
      </c>
    </row>
    <row r="27" spans="2:69" x14ac:dyDescent="0.2">
      <c r="B27" s="152" t="s">
        <v>514</v>
      </c>
      <c r="C27" s="153" t="s">
        <v>688</v>
      </c>
      <c r="D27" s="154">
        <v>6.1991313640082313E-2</v>
      </c>
      <c r="E27" s="154">
        <v>1.3646190150874189E-2</v>
      </c>
      <c r="F27" s="154">
        <v>0.13374935737663568</v>
      </c>
      <c r="G27" s="154">
        <v>8.8077735157420414E-2</v>
      </c>
      <c r="H27" s="154">
        <v>7.5946527742840719E-2</v>
      </c>
      <c r="I27" s="154">
        <v>4.4247574597451175E-3</v>
      </c>
      <c r="J27" s="154">
        <v>-3.7873365466387358E-2</v>
      </c>
      <c r="K27" s="154">
        <v>3.1561706064391466E-2</v>
      </c>
      <c r="L27" s="154">
        <v>2.5436067661622732E-2</v>
      </c>
      <c r="M27" s="154">
        <v>6.9107823482093458E-3</v>
      </c>
      <c r="N27" s="154">
        <v>3.3500744653295465E-2</v>
      </c>
      <c r="O27" s="154">
        <v>1.2701236014845215E-2</v>
      </c>
      <c r="P27" s="154">
        <v>7.6021564696171426E-2</v>
      </c>
      <c r="Q27" s="154">
        <v>6.9126069227613107E-2</v>
      </c>
      <c r="R27" s="154">
        <v>4.8537618661457602E-2</v>
      </c>
      <c r="S27" s="154">
        <v>3.5444312786886277E-2</v>
      </c>
      <c r="T27" s="154">
        <v>5.0401479397111553E-3</v>
      </c>
      <c r="U27" s="154">
        <v>3.7682806481393057E-2</v>
      </c>
      <c r="V27" s="154">
        <v>8.6002661141250172E-2</v>
      </c>
      <c r="W27" s="154">
        <v>4.1164300377848191E-2</v>
      </c>
      <c r="X27" s="154">
        <v>8.1321552253522042E-2</v>
      </c>
      <c r="Y27" s="154">
        <v>7.1355332730451155E-3</v>
      </c>
      <c r="Z27" s="154">
        <v>4.7943751088546226E-2</v>
      </c>
      <c r="AA27" s="154">
        <v>6.1965726744572514E-2</v>
      </c>
      <c r="AB27" s="154">
        <v>5.0753291632702362E-2</v>
      </c>
      <c r="AC27" s="154">
        <v>9.4134736526232832E-2</v>
      </c>
      <c r="AD27" s="154">
        <v>6.1877171445722683E-4</v>
      </c>
      <c r="AE27" s="154">
        <v>6.0455418995477718E-2</v>
      </c>
      <c r="AF27" s="154">
        <f t="shared" ref="AF27:AL27" si="23">AF26/AF12</f>
        <v>7.5961191167129571E-2</v>
      </c>
      <c r="AG27" s="154">
        <f t="shared" si="23"/>
        <v>5.96092529302183E-2</v>
      </c>
      <c r="AH27" s="154">
        <f t="shared" si="23"/>
        <v>6.1465644701465094E-2</v>
      </c>
      <c r="AI27" s="154">
        <f t="shared" si="23"/>
        <v>2.1199929279326429E-2</v>
      </c>
      <c r="AJ27" s="154">
        <f t="shared" si="23"/>
        <v>9.2259305551459836E-2</v>
      </c>
      <c r="AK27" s="154">
        <f t="shared" si="23"/>
        <v>9.7566862590010975E-2</v>
      </c>
      <c r="AL27" s="154">
        <f t="shared" si="23"/>
        <v>7.0301883272745738E-2</v>
      </c>
      <c r="AM27" s="154">
        <f>+AM26/AM12</f>
        <v>8.369638781543258E-2</v>
      </c>
      <c r="AN27" s="154">
        <f>+AN26/AN12</f>
        <v>2.7488446792463075E-3</v>
      </c>
      <c r="AO27" s="154">
        <f>+AO26/AO12</f>
        <v>7.0205190167982823E-2</v>
      </c>
      <c r="AP27" s="154">
        <f t="shared" ref="AP27:AQ27" si="24">+AP26/AP12</f>
        <v>0.10585247223888883</v>
      </c>
      <c r="AQ27" s="154">
        <f t="shared" si="24"/>
        <v>6.8007759099108098E-2</v>
      </c>
      <c r="AS27" s="154">
        <f>+AS26/AS12</f>
        <v>9.9044290205293026E-2</v>
      </c>
      <c r="AT27" s="154">
        <f>+AT26/AT12</f>
        <v>2.2334787223302059E-2</v>
      </c>
      <c r="AU27" s="154">
        <f>+AU26/AU12</f>
        <v>8.858935922866186E-2</v>
      </c>
      <c r="AV27" s="154">
        <f t="shared" ref="AV27:BC27" si="25">+AV26/AV12</f>
        <v>0.12305695533153561</v>
      </c>
      <c r="AW27" s="154">
        <f t="shared" si="25"/>
        <v>8.5548292116655766E-2</v>
      </c>
      <c r="AX27" s="154">
        <f t="shared" si="25"/>
        <v>3.2520112716749275E-2</v>
      </c>
      <c r="AY27" s="154">
        <f t="shared" si="25"/>
        <v>1.6959379431778721E-2</v>
      </c>
      <c r="AZ27" s="154">
        <f t="shared" si="25"/>
        <v>0.10089264943154103</v>
      </c>
      <c r="BA27" s="154">
        <f t="shared" si="25"/>
        <v>0.12206394338191083</v>
      </c>
      <c r="BB27" s="154">
        <f t="shared" si="25"/>
        <v>7.1096365644204004E-2</v>
      </c>
      <c r="BC27" s="154">
        <f t="shared" si="25"/>
        <v>4.0786030841826706E-2</v>
      </c>
      <c r="BD27" s="155">
        <f>+BD26/BD12</f>
        <v>-1.2149491854991572</v>
      </c>
      <c r="BE27" s="155">
        <f>+BE26/BE12</f>
        <v>-1.1008476757152994</v>
      </c>
      <c r="BF27" s="155">
        <f>+BF26/BF12</f>
        <v>-0.55904662584342768</v>
      </c>
      <c r="BG27" s="155">
        <f>+BG26/BG12</f>
        <v>-0.38417881503754958</v>
      </c>
      <c r="BH27" s="154">
        <f t="shared" ref="BH27:BK27" si="26">+BH26/BH12</f>
        <v>-0.38955972720068405</v>
      </c>
      <c r="BI27" s="154">
        <f t="shared" si="26"/>
        <v>-0.4025496176721105</v>
      </c>
      <c r="BJ27" s="154">
        <f t="shared" si="26"/>
        <v>-0.36481298639409693</v>
      </c>
      <c r="BK27" s="154">
        <f t="shared" si="26"/>
        <v>3.6791095812136215E-2</v>
      </c>
      <c r="BL27" s="155">
        <f>+BL26/BL12</f>
        <v>-0.21897867437935117</v>
      </c>
      <c r="BM27" s="154">
        <f t="shared" ref="BM27:BO27" si="27">+BM26/BM12</f>
        <v>-7.0522253367394414E-2</v>
      </c>
      <c r="BN27" s="154">
        <f t="shared" si="27"/>
        <v>-8.3549498562795116E-2</v>
      </c>
      <c r="BO27" s="154">
        <f t="shared" si="27"/>
        <v>2.4396518651735401E-2</v>
      </c>
    </row>
    <row r="28" spans="2:69" x14ac:dyDescent="0.2">
      <c r="B28" s="152"/>
      <c r="C28" s="153"/>
      <c r="D28" s="154"/>
      <c r="E28" s="154"/>
      <c r="F28" s="154"/>
      <c r="G28" s="154"/>
      <c r="H28" s="154"/>
      <c r="I28" s="154"/>
      <c r="J28" s="154"/>
      <c r="K28" s="154"/>
      <c r="L28" s="154"/>
      <c r="M28" s="154"/>
      <c r="N28" s="154"/>
      <c r="O28" s="154"/>
      <c r="P28" s="154"/>
      <c r="Q28" s="154"/>
      <c r="R28" s="154"/>
      <c r="S28" s="154"/>
      <c r="T28" s="154"/>
      <c r="U28" s="154"/>
      <c r="V28" s="154"/>
      <c r="W28" s="154"/>
      <c r="X28" s="154"/>
      <c r="Y28" s="154"/>
      <c r="Z28" s="154"/>
      <c r="AA28" s="154"/>
      <c r="AB28" s="154"/>
      <c r="AC28" s="154"/>
      <c r="AD28" s="154"/>
      <c r="AE28" s="154"/>
      <c r="AF28" s="154"/>
      <c r="AG28" s="154"/>
      <c r="AH28" s="154"/>
      <c r="AI28" s="154"/>
      <c r="AJ28" s="154"/>
      <c r="AK28" s="154"/>
      <c r="AL28" s="154"/>
      <c r="AM28" s="154"/>
      <c r="AN28" s="154"/>
      <c r="AO28" s="154"/>
      <c r="AP28" s="154"/>
      <c r="AQ28" s="154"/>
      <c r="AS28" s="154"/>
      <c r="AT28" s="154"/>
      <c r="AU28" s="154"/>
      <c r="AV28" s="154"/>
      <c r="AW28" s="154"/>
      <c r="AX28" s="154"/>
      <c r="AY28" s="154"/>
      <c r="AZ28" s="154"/>
      <c r="BA28" s="154"/>
      <c r="BB28" s="154"/>
      <c r="BC28" s="154"/>
      <c r="BD28" s="155"/>
      <c r="BE28" s="155"/>
      <c r="BF28" s="155"/>
      <c r="BG28" s="155"/>
      <c r="BH28" s="154"/>
      <c r="BI28" s="154"/>
      <c r="BJ28" s="154"/>
      <c r="BK28" s="154"/>
      <c r="BL28" s="155"/>
      <c r="BM28" s="154"/>
      <c r="BN28" s="154"/>
      <c r="BO28" s="154"/>
    </row>
    <row r="29" spans="2:69" x14ac:dyDescent="0.2">
      <c r="B29" s="148" t="s">
        <v>517</v>
      </c>
      <c r="C29" s="149" t="s">
        <v>687</v>
      </c>
      <c r="D29" s="150">
        <f t="shared" ref="D29:AC29" si="28">D26-D18</f>
        <v>465645.32392618479</v>
      </c>
      <c r="E29" s="150">
        <f t="shared" si="28"/>
        <v>324896.41528350487</v>
      </c>
      <c r="F29" s="150">
        <f t="shared" si="28"/>
        <v>750453.8482026672</v>
      </c>
      <c r="G29" s="150">
        <f t="shared" si="28"/>
        <v>585996.41258764314</v>
      </c>
      <c r="H29" s="150">
        <f t="shared" si="28"/>
        <v>2126991.9999999981</v>
      </c>
      <c r="I29" s="150">
        <f t="shared" si="28"/>
        <v>292482</v>
      </c>
      <c r="J29" s="150">
        <f t="shared" si="28"/>
        <v>144724</v>
      </c>
      <c r="K29" s="150">
        <f t="shared" si="28"/>
        <v>376480</v>
      </c>
      <c r="L29" s="150">
        <f t="shared" si="28"/>
        <v>364712</v>
      </c>
      <c r="M29" s="150">
        <f>M26-M18</f>
        <v>1178399</v>
      </c>
      <c r="N29" s="150">
        <f t="shared" si="28"/>
        <v>405096</v>
      </c>
      <c r="O29" s="150">
        <f t="shared" si="28"/>
        <v>290304</v>
      </c>
      <c r="P29" s="150">
        <f t="shared" si="28"/>
        <v>505208</v>
      </c>
      <c r="Q29" s="150">
        <f t="shared" si="28"/>
        <v>485031</v>
      </c>
      <c r="R29" s="150">
        <f t="shared" si="28"/>
        <v>1685638</v>
      </c>
      <c r="S29" s="150">
        <f t="shared" si="28"/>
        <v>358212</v>
      </c>
      <c r="T29" s="150">
        <f t="shared" si="28"/>
        <v>262800</v>
      </c>
      <c r="U29" s="150">
        <f t="shared" si="28"/>
        <v>369604</v>
      </c>
      <c r="V29" s="150">
        <f t="shared" si="28"/>
        <v>514015</v>
      </c>
      <c r="W29" s="150">
        <f t="shared" si="28"/>
        <v>1504630</v>
      </c>
      <c r="X29" s="150">
        <f t="shared" si="28"/>
        <v>464428</v>
      </c>
      <c r="Y29" s="150">
        <f t="shared" si="28"/>
        <v>252303</v>
      </c>
      <c r="Z29" s="150">
        <f t="shared" si="28"/>
        <v>353622</v>
      </c>
      <c r="AA29" s="150">
        <f t="shared" si="28"/>
        <v>377973</v>
      </c>
      <c r="AB29" s="150">
        <f t="shared" si="28"/>
        <v>1448326</v>
      </c>
      <c r="AC29" s="150">
        <f t="shared" si="28"/>
        <v>458560.57281667599</v>
      </c>
      <c r="AD29" s="150">
        <v>232012</v>
      </c>
      <c r="AE29" s="150">
        <v>395925</v>
      </c>
      <c r="AF29" s="150">
        <f>AF26-AF18</f>
        <v>441732</v>
      </c>
      <c r="AG29" s="150">
        <f>SUM(AC29:AF29)</f>
        <v>1528229.572816676</v>
      </c>
      <c r="AH29" s="150">
        <f>AH26-AH18</f>
        <v>404493</v>
      </c>
      <c r="AI29" s="150">
        <f>AI26-AI18</f>
        <v>291695</v>
      </c>
      <c r="AJ29" s="150">
        <f>AJ26-AJ18</f>
        <v>496222</v>
      </c>
      <c r="AK29" s="150">
        <f>AK26-AK18</f>
        <v>523749</v>
      </c>
      <c r="AL29" s="150">
        <f>SUM(AH29:AK29)</f>
        <v>1716159</v>
      </c>
      <c r="AM29" s="150">
        <f>AM26-AM18</f>
        <v>479996</v>
      </c>
      <c r="AN29" s="150">
        <f>AN26-AN18</f>
        <v>244024</v>
      </c>
      <c r="AO29" s="150">
        <f>AO26-AO18</f>
        <v>420133</v>
      </c>
      <c r="AP29" s="150">
        <f t="shared" ref="AP29:AQ29" si="29">AP26-AP18</f>
        <v>542612</v>
      </c>
      <c r="AQ29" s="150">
        <f t="shared" si="29"/>
        <v>1686765</v>
      </c>
      <c r="AS29" s="150">
        <f>AS26-AS18</f>
        <v>619331</v>
      </c>
      <c r="AT29" s="150">
        <f>AT26-AT18</f>
        <v>390087</v>
      </c>
      <c r="AU29" s="150">
        <f>AU26-AU18</f>
        <v>564843</v>
      </c>
      <c r="AV29" s="150">
        <f t="shared" ref="AV29:BE29" si="30">AV26-AV18</f>
        <v>685350</v>
      </c>
      <c r="AW29" s="150">
        <f t="shared" si="30"/>
        <v>2259611</v>
      </c>
      <c r="AX29" s="150">
        <f t="shared" si="30"/>
        <v>433766</v>
      </c>
      <c r="AY29" s="150">
        <f t="shared" si="30"/>
        <v>391922</v>
      </c>
      <c r="AZ29" s="150">
        <f t="shared" si="30"/>
        <v>644730</v>
      </c>
      <c r="BA29" s="150">
        <f t="shared" si="30"/>
        <v>741159</v>
      </c>
      <c r="BB29" s="150">
        <f t="shared" si="30"/>
        <v>2211577</v>
      </c>
      <c r="BC29" s="150">
        <f t="shared" si="30"/>
        <v>479064</v>
      </c>
      <c r="BD29" s="151">
        <f t="shared" si="30"/>
        <v>-387978</v>
      </c>
      <c r="BE29" s="151">
        <f t="shared" si="30"/>
        <v>-264570</v>
      </c>
      <c r="BF29" s="151">
        <f>BF26-BF18</f>
        <v>-102417</v>
      </c>
      <c r="BG29" s="151">
        <f>BG26-BG18</f>
        <v>-275901</v>
      </c>
      <c r="BH29" s="150">
        <f t="shared" ref="BH29:BK29" si="31">BH26-BH18</f>
        <v>-62522.82536185073</v>
      </c>
      <c r="BI29" s="150">
        <f t="shared" si="31"/>
        <v>-88946.611724021845</v>
      </c>
      <c r="BJ29" s="150">
        <f t="shared" si="31"/>
        <v>-188371</v>
      </c>
      <c r="BK29" s="150">
        <f t="shared" si="31"/>
        <v>385958.75718073593</v>
      </c>
      <c r="BL29" s="151">
        <f>BL26-BL18</f>
        <v>46118.320094863884</v>
      </c>
      <c r="BM29" s="150">
        <f t="shared" ref="BM29:BO29" si="32">BM26-BM18</f>
        <v>154089.73794418643</v>
      </c>
      <c r="BN29" s="150">
        <f t="shared" si="32"/>
        <v>97470.582292126492</v>
      </c>
      <c r="BO29" s="150">
        <f t="shared" si="32"/>
        <v>366568.0162907932</v>
      </c>
    </row>
    <row r="30" spans="2:69" x14ac:dyDescent="0.2">
      <c r="B30" s="152" t="s">
        <v>518</v>
      </c>
      <c r="C30" s="153" t="s">
        <v>688</v>
      </c>
      <c r="D30" s="154">
        <f t="shared" ref="D30:AC30" si="33">D29/D12</f>
        <v>0.14781355263493379</v>
      </c>
      <c r="E30" s="154">
        <f t="shared" si="33"/>
        <v>0.1015659324576122</v>
      </c>
      <c r="F30" s="154">
        <f t="shared" si="33"/>
        <v>0.21584377765160964</v>
      </c>
      <c r="G30" s="154">
        <f t="shared" si="33"/>
        <v>0.16813037680450379</v>
      </c>
      <c r="H30" s="154">
        <f t="shared" si="33"/>
        <v>0.15978845274460521</v>
      </c>
      <c r="I30" s="154">
        <f t="shared" si="33"/>
        <v>8.8002305952752033E-2</v>
      </c>
      <c r="J30" s="154">
        <f t="shared" si="33"/>
        <v>4.685093804497268E-2</v>
      </c>
      <c r="K30" s="154">
        <f t="shared" si="33"/>
        <v>0.1127528951180644</v>
      </c>
      <c r="L30" s="154">
        <f t="shared" si="33"/>
        <v>0.10508902883009821</v>
      </c>
      <c r="M30" s="154">
        <f t="shared" si="33"/>
        <v>8.9123491199425933E-2</v>
      </c>
      <c r="N30" s="154">
        <f t="shared" si="33"/>
        <v>0.11883240944696183</v>
      </c>
      <c r="O30" s="154">
        <f t="shared" si="33"/>
        <v>9.3679360265590067E-2</v>
      </c>
      <c r="P30" s="154">
        <f t="shared" si="33"/>
        <v>0.15032918952663718</v>
      </c>
      <c r="Q30" s="154">
        <f t="shared" si="33"/>
        <v>0.14275921503343883</v>
      </c>
      <c r="R30" s="154">
        <f t="shared" si="33"/>
        <v>0.12706354888572394</v>
      </c>
      <c r="S30" s="154">
        <f t="shared" si="33"/>
        <v>0.11273621647649755</v>
      </c>
      <c r="T30" s="154">
        <f t="shared" si="33"/>
        <v>8.6228167343017484E-2</v>
      </c>
      <c r="U30" s="154">
        <f t="shared" si="33"/>
        <v>0.11765956769490338</v>
      </c>
      <c r="V30" s="154">
        <f t="shared" si="33"/>
        <v>0.16556118611787418</v>
      </c>
      <c r="W30" s="154">
        <f t="shared" si="33"/>
        <v>0.12064889626021538</v>
      </c>
      <c r="X30" s="154">
        <f t="shared" si="33"/>
        <v>0.16639354070842688</v>
      </c>
      <c r="Y30" s="154">
        <f t="shared" si="33"/>
        <v>0.10456621080264285</v>
      </c>
      <c r="Z30" s="154">
        <f t="shared" si="33"/>
        <v>0.140615121070199</v>
      </c>
      <c r="AA30" s="154">
        <f t="shared" si="33"/>
        <v>0.15703022175248274</v>
      </c>
      <c r="AB30" s="154">
        <f t="shared" si="33"/>
        <v>0.14303287455265379</v>
      </c>
      <c r="AC30" s="154">
        <f t="shared" si="33"/>
        <v>0.19700863886733333</v>
      </c>
      <c r="AD30" s="154">
        <v>0.10992531624398937</v>
      </c>
      <c r="AE30" s="154">
        <v>0.15714265302283048</v>
      </c>
      <c r="AF30" s="154">
        <f t="shared" ref="AF30:AL30" si="34">AF29/AF12</f>
        <v>0.1719261810165523</v>
      </c>
      <c r="AG30" s="154">
        <f t="shared" si="34"/>
        <v>0.16040889318329521</v>
      </c>
      <c r="AH30" s="154">
        <f t="shared" si="34"/>
        <v>0.16326996035034425</v>
      </c>
      <c r="AI30" s="154">
        <f t="shared" si="34"/>
        <v>0.12828897311646834</v>
      </c>
      <c r="AJ30" s="154">
        <f t="shared" si="34"/>
        <v>0.18760514987709043</v>
      </c>
      <c r="AK30" s="154">
        <f t="shared" si="34"/>
        <v>0.18924446239836334</v>
      </c>
      <c r="AL30" s="154">
        <f t="shared" si="34"/>
        <v>0.16885020124370856</v>
      </c>
      <c r="AM30" s="154">
        <f>AM29/AM12</f>
        <v>0.17578819689614053</v>
      </c>
      <c r="AN30" s="154">
        <f>AN29/AN12</f>
        <v>0.10351606080376557</v>
      </c>
      <c r="AO30" s="154">
        <f>AO29/AO12</f>
        <v>0.16859398205684553</v>
      </c>
      <c r="AP30" s="154">
        <f t="shared" ref="AP30:AQ30" si="35">AP29/AP12</f>
        <v>0.19460016217516998</v>
      </c>
      <c r="AQ30" s="154">
        <f t="shared" si="35"/>
        <v>0.16268616755016824</v>
      </c>
      <c r="AS30" s="154">
        <f>AS29/AS12</f>
        <v>0.22681663966342139</v>
      </c>
      <c r="AT30" s="154">
        <f>AT29/AT12</f>
        <v>0.16547663185079542</v>
      </c>
      <c r="AU30" s="154">
        <f>AU29/AU12</f>
        <v>0.22666424824266318</v>
      </c>
      <c r="AV30" s="154">
        <f t="shared" ref="AV30:BE30" si="36">AV29/AV12</f>
        <v>0.24579113832121802</v>
      </c>
      <c r="AW30" s="154">
        <f t="shared" si="36"/>
        <v>0.2179363774706039</v>
      </c>
      <c r="AX30" s="154">
        <f t="shared" si="36"/>
        <v>0.17177028339170339</v>
      </c>
      <c r="AY30" s="154">
        <f t="shared" si="36"/>
        <v>0.16537093289034357</v>
      </c>
      <c r="AZ30" s="154">
        <f t="shared" si="36"/>
        <v>0.24191587557690142</v>
      </c>
      <c r="BA30" s="154">
        <f t="shared" si="36"/>
        <v>0.25818939720657896</v>
      </c>
      <c r="BB30" s="154">
        <f t="shared" si="36"/>
        <v>0.21202113675994472</v>
      </c>
      <c r="BC30" s="154">
        <f t="shared" si="36"/>
        <v>0.20365553229251909</v>
      </c>
      <c r="BD30" s="155">
        <f t="shared" si="36"/>
        <v>-0.67842079862349702</v>
      </c>
      <c r="BE30" s="155">
        <f t="shared" si="36"/>
        <v>-0.51579936521800163</v>
      </c>
      <c r="BF30" s="155">
        <f>BF29/BF12</f>
        <v>-0.11411008904457577</v>
      </c>
      <c r="BG30" s="155">
        <f>BG29/BG12</f>
        <v>-6.3649842698485171E-2</v>
      </c>
      <c r="BH30" s="154">
        <f t="shared" ref="BH30:BK30" si="37">BH29/BH12</f>
        <v>-6.8468329170978642E-2</v>
      </c>
      <c r="BI30" s="154">
        <f t="shared" si="37"/>
        <v>-0.10008571229919523</v>
      </c>
      <c r="BJ30" s="154">
        <f t="shared" si="37"/>
        <v>-0.14339828611144309</v>
      </c>
      <c r="BK30" s="154">
        <f t="shared" si="37"/>
        <v>0.19337998871518475</v>
      </c>
      <c r="BL30" s="155">
        <f>BL29/BL12</f>
        <v>9.022734363529827E-3</v>
      </c>
      <c r="BM30" s="154">
        <f t="shared" ref="BM30:BO30" si="38">BM29/BM12</f>
        <v>7.8656110371136248E-2</v>
      </c>
      <c r="BN30" s="154">
        <f t="shared" si="38"/>
        <v>4.378562049988384E-2</v>
      </c>
      <c r="BO30" s="154">
        <f t="shared" si="38"/>
        <v>0.14167323266267423</v>
      </c>
    </row>
    <row r="31" spans="2:69" x14ac:dyDescent="0.2">
      <c r="B31" s="152"/>
      <c r="C31" s="153"/>
      <c r="D31" s="154"/>
      <c r="E31" s="154"/>
      <c r="F31" s="154"/>
      <c r="G31" s="154"/>
      <c r="H31" s="154"/>
      <c r="I31" s="154"/>
      <c r="J31" s="154"/>
      <c r="K31" s="154"/>
      <c r="L31" s="154"/>
      <c r="M31" s="154"/>
      <c r="N31" s="154"/>
      <c r="O31" s="154"/>
      <c r="P31" s="154"/>
      <c r="Q31" s="154"/>
      <c r="R31" s="154"/>
      <c r="S31" s="154"/>
      <c r="T31" s="154"/>
      <c r="U31" s="154"/>
      <c r="V31" s="154"/>
      <c r="W31" s="154"/>
      <c r="X31" s="154"/>
      <c r="Y31" s="154"/>
      <c r="Z31" s="154"/>
      <c r="AA31" s="154"/>
      <c r="AB31" s="154"/>
      <c r="AC31" s="154"/>
      <c r="AD31" s="154"/>
      <c r="AE31" s="154"/>
      <c r="AF31" s="154"/>
      <c r="AG31" s="154"/>
      <c r="AH31" s="154"/>
      <c r="AI31" s="154"/>
      <c r="AJ31" s="154"/>
      <c r="AK31" s="154"/>
      <c r="AL31" s="154"/>
      <c r="AM31" s="154"/>
      <c r="AN31" s="154"/>
      <c r="AO31" s="154"/>
      <c r="AP31" s="154"/>
      <c r="AQ31" s="154"/>
      <c r="AS31" s="154"/>
      <c r="AT31" s="154"/>
      <c r="AU31" s="154"/>
      <c r="AV31" s="154"/>
      <c r="AW31" s="154"/>
      <c r="AX31" s="154"/>
      <c r="AY31" s="154"/>
      <c r="AZ31" s="154"/>
      <c r="BA31" s="154"/>
      <c r="BB31" s="154"/>
      <c r="BC31" s="154"/>
      <c r="BD31" s="155"/>
      <c r="BE31" s="155"/>
      <c r="BF31" s="155"/>
      <c r="BG31" s="155"/>
      <c r="BH31" s="154"/>
      <c r="BI31" s="154"/>
      <c r="BJ31" s="154"/>
      <c r="BK31" s="154"/>
      <c r="BL31" s="155"/>
      <c r="BM31" s="154"/>
      <c r="BN31" s="154"/>
      <c r="BO31" s="154"/>
    </row>
    <row r="32" spans="2:69" x14ac:dyDescent="0.2">
      <c r="B32" s="148" t="s">
        <v>515</v>
      </c>
      <c r="C32" s="149" t="s">
        <v>687</v>
      </c>
      <c r="D32" s="150">
        <f t="shared" ref="D32:AC32" si="39">D29-D21</f>
        <v>560065.32392618479</v>
      </c>
      <c r="E32" s="150">
        <f t="shared" si="39"/>
        <v>426036.41528350487</v>
      </c>
      <c r="F32" s="150">
        <f t="shared" si="39"/>
        <v>852405.8482026672</v>
      </c>
      <c r="G32" s="150">
        <f t="shared" si="39"/>
        <v>688756.41258764314</v>
      </c>
      <c r="H32" s="150">
        <f t="shared" si="39"/>
        <v>2527263.9999999981</v>
      </c>
      <c r="I32" s="150">
        <f t="shared" si="39"/>
        <v>394763</v>
      </c>
      <c r="J32" s="150">
        <f t="shared" si="39"/>
        <v>248018</v>
      </c>
      <c r="K32" s="150">
        <f t="shared" si="39"/>
        <v>477986</v>
      </c>
      <c r="L32" s="150">
        <f t="shared" si="39"/>
        <v>479667</v>
      </c>
      <c r="M32" s="150">
        <f t="shared" si="39"/>
        <v>1600435</v>
      </c>
      <c r="N32" s="150">
        <f t="shared" si="39"/>
        <v>511596</v>
      </c>
      <c r="O32" s="150">
        <f t="shared" si="39"/>
        <v>383017</v>
      </c>
      <c r="P32" s="150">
        <f t="shared" si="39"/>
        <v>621355</v>
      </c>
      <c r="Q32" s="150">
        <f t="shared" si="39"/>
        <v>610748</v>
      </c>
      <c r="R32" s="150">
        <f t="shared" si="39"/>
        <v>2126715</v>
      </c>
      <c r="S32" s="150">
        <f t="shared" si="39"/>
        <v>486080</v>
      </c>
      <c r="T32" s="150">
        <f t="shared" si="39"/>
        <v>396005</v>
      </c>
      <c r="U32" s="150">
        <f t="shared" si="39"/>
        <v>501346</v>
      </c>
      <c r="V32" s="150">
        <f t="shared" si="39"/>
        <v>642584</v>
      </c>
      <c r="W32" s="150">
        <f t="shared" si="39"/>
        <v>2026014</v>
      </c>
      <c r="X32" s="150">
        <f t="shared" si="39"/>
        <v>593327</v>
      </c>
      <c r="Y32" s="150">
        <f t="shared" si="39"/>
        <v>381096</v>
      </c>
      <c r="Z32" s="150">
        <f t="shared" si="39"/>
        <v>487064</v>
      </c>
      <c r="AA32" s="150">
        <f t="shared" si="39"/>
        <v>511973</v>
      </c>
      <c r="AB32" s="150">
        <f t="shared" si="39"/>
        <v>1973460</v>
      </c>
      <c r="AC32" s="150">
        <f t="shared" si="39"/>
        <v>592163.57281667599</v>
      </c>
      <c r="AD32" s="150">
        <v>370566</v>
      </c>
      <c r="AE32" s="150">
        <v>543368</v>
      </c>
      <c r="AF32" s="150">
        <f>AF29-AF21</f>
        <v>591111</v>
      </c>
      <c r="AG32" s="150">
        <f>SUM(AC32:AF32)</f>
        <v>2097208.572816676</v>
      </c>
      <c r="AH32" s="150">
        <f>AH29-AH21</f>
        <v>554889</v>
      </c>
      <c r="AI32" s="150">
        <f>AI29-AI21</f>
        <v>444826</v>
      </c>
      <c r="AJ32" s="150">
        <f>AJ29-AJ21</f>
        <v>635775</v>
      </c>
      <c r="AK32" s="150">
        <f>AK29-AK21</f>
        <v>660221</v>
      </c>
      <c r="AL32" s="150">
        <f>SUM(AH32:AK32)</f>
        <v>2295711</v>
      </c>
      <c r="AM32" s="150">
        <f>AM29-AM21</f>
        <v>615757</v>
      </c>
      <c r="AN32" s="150">
        <f>AN29-AN21</f>
        <v>381066</v>
      </c>
      <c r="AO32" s="150">
        <f>AO29-AO21</f>
        <v>553528</v>
      </c>
      <c r="AP32" s="150">
        <f t="shared" ref="AP32:AQ32" si="40">AP29-AP21</f>
        <v>674761</v>
      </c>
      <c r="AQ32" s="150">
        <f t="shared" si="40"/>
        <v>2225112</v>
      </c>
      <c r="AS32" s="150"/>
      <c r="AT32" s="150"/>
      <c r="AU32" s="150"/>
      <c r="AV32" s="150"/>
      <c r="AW32" s="150"/>
      <c r="AX32" s="150"/>
      <c r="AY32" s="150"/>
      <c r="AZ32" s="150"/>
      <c r="BA32" s="150"/>
      <c r="BB32" s="150"/>
      <c r="BC32" s="150"/>
      <c r="BD32" s="151"/>
      <c r="BE32" s="151"/>
      <c r="BF32" s="151"/>
      <c r="BG32" s="151"/>
      <c r="BH32" s="150"/>
      <c r="BI32" s="150"/>
      <c r="BJ32" s="150"/>
      <c r="BK32" s="150"/>
      <c r="BL32" s="151"/>
      <c r="BM32" s="150"/>
      <c r="BN32" s="150"/>
      <c r="BO32" s="150"/>
    </row>
    <row r="33" spans="2:67" x14ac:dyDescent="0.2">
      <c r="B33" s="152" t="s">
        <v>689</v>
      </c>
      <c r="C33" s="153" t="s">
        <v>688</v>
      </c>
      <c r="D33" s="154">
        <f t="shared" ref="D33:AC33" si="41">D32/D12</f>
        <v>0.17778605514416734</v>
      </c>
      <c r="E33" s="154">
        <f t="shared" si="41"/>
        <v>0.13318332780436976</v>
      </c>
      <c r="F33" s="154">
        <f t="shared" si="41"/>
        <v>0.24516697303776225</v>
      </c>
      <c r="G33" s="154">
        <f t="shared" si="41"/>
        <v>0.1976136247379488</v>
      </c>
      <c r="H33" s="154">
        <f t="shared" si="41"/>
        <v>0.18985854400822477</v>
      </c>
      <c r="I33" s="154">
        <f t="shared" si="41"/>
        <v>0.1187767257637265</v>
      </c>
      <c r="J33" s="154">
        <f t="shared" si="41"/>
        <v>8.0289903209129335E-2</v>
      </c>
      <c r="K33" s="154">
        <f t="shared" si="41"/>
        <v>0.14315316969268788</v>
      </c>
      <c r="L33" s="154">
        <f t="shared" si="41"/>
        <v>0.13821245034944482</v>
      </c>
      <c r="M33" s="154">
        <f t="shared" si="41"/>
        <v>0.121042494637006</v>
      </c>
      <c r="N33" s="154">
        <f t="shared" si="41"/>
        <v>0.15007352662931225</v>
      </c>
      <c r="O33" s="154">
        <f t="shared" si="41"/>
        <v>0.12359728949944029</v>
      </c>
      <c r="P33" s="154">
        <f t="shared" si="41"/>
        <v>0.18488977521797684</v>
      </c>
      <c r="Q33" s="154">
        <f t="shared" si="41"/>
        <v>0.17976151021943484</v>
      </c>
      <c r="R33" s="154">
        <f t="shared" si="41"/>
        <v>0.16031197408251496</v>
      </c>
      <c r="S33" s="154">
        <f t="shared" si="41"/>
        <v>0.15297873914021845</v>
      </c>
      <c r="T33" s="154">
        <f t="shared" si="41"/>
        <v>0.12993449546678706</v>
      </c>
      <c r="U33" s="154">
        <f t="shared" si="41"/>
        <v>0.15959825549931558</v>
      </c>
      <c r="V33" s="154">
        <f t="shared" si="41"/>
        <v>0.20697249928575639</v>
      </c>
      <c r="W33" s="154">
        <f t="shared" si="41"/>
        <v>0.16245612071256321</v>
      </c>
      <c r="X33" s="154">
        <f t="shared" si="41"/>
        <v>0.21257499618435752</v>
      </c>
      <c r="Y33" s="154">
        <f t="shared" si="41"/>
        <v>0.1579440778430854</v>
      </c>
      <c r="Z33" s="154">
        <f t="shared" si="41"/>
        <v>0.1936773258703797</v>
      </c>
      <c r="AA33" s="154">
        <f t="shared" si="41"/>
        <v>0.21270099642377591</v>
      </c>
      <c r="AB33" s="154">
        <f t="shared" si="41"/>
        <v>0.194893730151002</v>
      </c>
      <c r="AC33" s="154">
        <f t="shared" si="41"/>
        <v>0.25440769744081204</v>
      </c>
      <c r="AD33" s="154">
        <v>0.175571025374852</v>
      </c>
      <c r="AE33" s="154">
        <v>0.21566278736556002</v>
      </c>
      <c r="AF33" s="154">
        <f t="shared" ref="AF33:AN33" si="42">AF32/AF12</f>
        <v>0.23006586977369817</v>
      </c>
      <c r="AG33" s="154">
        <f t="shared" si="42"/>
        <v>0.22013113207854176</v>
      </c>
      <c r="AH33" s="154">
        <f t="shared" si="42"/>
        <v>0.22397595268358703</v>
      </c>
      <c r="AI33" s="154">
        <f t="shared" si="42"/>
        <v>0.19563678073160712</v>
      </c>
      <c r="AJ33" s="154">
        <f t="shared" si="42"/>
        <v>0.24036553027295679</v>
      </c>
      <c r="AK33" s="154">
        <f t="shared" si="42"/>
        <v>0.23855543057668815</v>
      </c>
      <c r="AL33" s="154">
        <f t="shared" si="42"/>
        <v>0.22587141654555051</v>
      </c>
      <c r="AM33" s="154">
        <f t="shared" si="42"/>
        <v>0.22550773913986119</v>
      </c>
      <c r="AN33" s="154">
        <f t="shared" si="42"/>
        <v>0.16164988372556688</v>
      </c>
      <c r="AO33" s="154">
        <f>AO32/AO12</f>
        <v>0.22212368392856927</v>
      </c>
      <c r="AP33" s="154">
        <f t="shared" ref="AP33:AQ33" si="43">AP32/AP12</f>
        <v>0.24199354240134732</v>
      </c>
      <c r="AQ33" s="154">
        <f t="shared" si="43"/>
        <v>0.21460899630350994</v>
      </c>
      <c r="AS33" s="154"/>
      <c r="AT33" s="154"/>
      <c r="AU33" s="154"/>
      <c r="AV33" s="154"/>
      <c r="AW33" s="154"/>
      <c r="AX33" s="154"/>
      <c r="AY33" s="154"/>
      <c r="AZ33" s="154"/>
      <c r="BA33" s="154"/>
      <c r="BB33" s="154"/>
      <c r="BC33" s="154"/>
      <c r="BD33" s="155"/>
      <c r="BE33" s="155"/>
      <c r="BF33" s="155"/>
      <c r="BG33" s="155"/>
      <c r="BH33" s="154"/>
      <c r="BI33" s="154"/>
      <c r="BJ33" s="154"/>
      <c r="BK33" s="154"/>
      <c r="BL33" s="155"/>
      <c r="BM33" s="154"/>
      <c r="BN33" s="154"/>
      <c r="BO33" s="154"/>
    </row>
    <row r="34" spans="2:67" x14ac:dyDescent="0.2">
      <c r="B34" s="106"/>
      <c r="C34" s="105"/>
      <c r="D34" s="134"/>
      <c r="E34" s="134"/>
      <c r="F34" s="134"/>
      <c r="G34" s="134"/>
      <c r="H34" s="134"/>
      <c r="I34" s="134"/>
      <c r="J34" s="134"/>
      <c r="K34" s="134"/>
      <c r="L34" s="134"/>
      <c r="M34" s="134"/>
      <c r="N34" s="156"/>
      <c r="O34" s="156"/>
      <c r="P34" s="156"/>
      <c r="Q34" s="156"/>
      <c r="R34" s="134"/>
      <c r="S34" s="156"/>
      <c r="T34" s="156"/>
      <c r="U34" s="156"/>
      <c r="V34" s="156"/>
      <c r="W34" s="134"/>
      <c r="X34" s="156"/>
      <c r="Y34" s="156"/>
      <c r="Z34" s="156"/>
      <c r="AA34" s="156"/>
      <c r="AB34" s="134"/>
      <c r="AC34" s="156"/>
      <c r="AD34" s="156"/>
      <c r="AE34" s="156"/>
      <c r="AF34" s="156"/>
      <c r="AG34" s="134"/>
      <c r="AH34" s="156"/>
      <c r="AI34" s="156"/>
      <c r="AJ34" s="156"/>
      <c r="AK34" s="156"/>
      <c r="AL34" s="134"/>
      <c r="AM34" s="134"/>
      <c r="AN34" s="134"/>
      <c r="AO34" s="134"/>
      <c r="AP34" s="134"/>
      <c r="AQ34" s="134"/>
      <c r="AS34" s="134"/>
      <c r="AT34" s="134"/>
      <c r="AU34" s="134"/>
      <c r="AV34" s="134"/>
      <c r="AW34" s="134"/>
      <c r="AX34" s="134"/>
      <c r="AY34" s="134"/>
      <c r="AZ34" s="134"/>
      <c r="BA34" s="134"/>
      <c r="BB34" s="134"/>
      <c r="BC34" s="134"/>
      <c r="BD34" s="135"/>
      <c r="BE34" s="135"/>
      <c r="BF34" s="135"/>
      <c r="BG34" s="135"/>
      <c r="BH34" s="134"/>
      <c r="BI34" s="134"/>
      <c r="BJ34" s="134"/>
      <c r="BK34" s="134"/>
      <c r="BL34" s="135"/>
      <c r="BM34" s="134"/>
      <c r="BN34" s="134"/>
      <c r="BO34" s="134"/>
    </row>
    <row r="35" spans="2:67" x14ac:dyDescent="0.2">
      <c r="B35" s="142" t="s">
        <v>521</v>
      </c>
      <c r="C35" s="143"/>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4"/>
      <c r="AC35" s="144"/>
      <c r="AD35" s="144"/>
      <c r="AE35" s="144"/>
      <c r="AF35" s="144"/>
      <c r="AG35" s="144"/>
      <c r="AH35" s="144"/>
      <c r="AI35" s="144"/>
      <c r="AJ35" s="144"/>
      <c r="AK35" s="144"/>
      <c r="AL35" s="144"/>
      <c r="AM35" s="144"/>
      <c r="AN35" s="144"/>
      <c r="AO35" s="144"/>
      <c r="AP35" s="144"/>
      <c r="AQ35" s="144"/>
      <c r="AS35" s="144"/>
      <c r="AT35" s="144"/>
      <c r="AU35" s="144"/>
      <c r="AV35" s="144"/>
      <c r="AW35" s="144"/>
      <c r="AX35" s="144"/>
      <c r="AY35" s="144"/>
      <c r="AZ35" s="144"/>
      <c r="BA35" s="144"/>
      <c r="BB35" s="144"/>
      <c r="BC35" s="144"/>
      <c r="BD35" s="145"/>
      <c r="BE35" s="145"/>
      <c r="BF35" s="145"/>
      <c r="BG35" s="145"/>
      <c r="BH35" s="144"/>
      <c r="BI35" s="144"/>
      <c r="BJ35" s="144"/>
      <c r="BK35" s="144"/>
      <c r="BL35" s="145"/>
      <c r="BM35" s="144"/>
      <c r="BN35" s="144"/>
      <c r="BO35" s="144"/>
    </row>
    <row r="36" spans="2:67" x14ac:dyDescent="0.2">
      <c r="B36" s="133" t="s">
        <v>690</v>
      </c>
      <c r="C36" s="105" t="s">
        <v>687</v>
      </c>
      <c r="D36" s="134">
        <v>29427</v>
      </c>
      <c r="E36" s="134">
        <v>57379</v>
      </c>
      <c r="F36" s="134">
        <v>39014</v>
      </c>
      <c r="G36" s="134">
        <v>34739</v>
      </c>
      <c r="H36" s="134">
        <v>160559</v>
      </c>
      <c r="I36" s="134">
        <v>39315</v>
      </c>
      <c r="J36" s="134">
        <v>38106</v>
      </c>
      <c r="K36" s="134">
        <v>23889</v>
      </c>
      <c r="L36" s="134">
        <v>15862</v>
      </c>
      <c r="M36" s="134">
        <v>117172</v>
      </c>
      <c r="N36" s="134">
        <v>29826</v>
      </c>
      <c r="O36" s="134">
        <v>9921</v>
      </c>
      <c r="P36" s="134">
        <v>12003</v>
      </c>
      <c r="Q36" s="134">
        <v>21077</v>
      </c>
      <c r="R36" s="134">
        <v>72828</v>
      </c>
      <c r="S36" s="134">
        <v>19541</v>
      </c>
      <c r="T36" s="134">
        <v>25708</v>
      </c>
      <c r="U36" s="134">
        <v>23347</v>
      </c>
      <c r="V36" s="134">
        <v>21904</v>
      </c>
      <c r="W36" s="134">
        <v>90500</v>
      </c>
      <c r="X36" s="134">
        <v>18490</v>
      </c>
      <c r="Y36" s="134">
        <v>13394</v>
      </c>
      <c r="Z36" s="134">
        <v>32706</v>
      </c>
      <c r="AA36" s="134">
        <v>10490</v>
      </c>
      <c r="AB36" s="134">
        <v>75080</v>
      </c>
      <c r="AC36" s="134">
        <v>10864.177566102817</v>
      </c>
      <c r="AD36" s="134">
        <v>20554</v>
      </c>
      <c r="AE36" s="134">
        <v>21729</v>
      </c>
      <c r="AF36" s="134">
        <v>21802</v>
      </c>
      <c r="AG36" s="134">
        <f>SUM(AC36:AF36)</f>
        <v>74949.177566102822</v>
      </c>
      <c r="AH36" s="134">
        <v>22924</v>
      </c>
      <c r="AI36" s="134">
        <v>19300</v>
      </c>
      <c r="AJ36" s="134">
        <v>24432</v>
      </c>
      <c r="AK36" s="134">
        <v>12039</v>
      </c>
      <c r="AL36" s="134">
        <f>SUM(AH36:AK36)</f>
        <v>78695</v>
      </c>
      <c r="AM36" s="134">
        <v>12187</v>
      </c>
      <c r="AN36" s="134">
        <v>12740</v>
      </c>
      <c r="AO36" s="134">
        <v>9300</v>
      </c>
      <c r="AP36" s="134">
        <v>19026</v>
      </c>
      <c r="AQ36" s="134">
        <f>SUM(AM36:AP36)</f>
        <v>53253</v>
      </c>
      <c r="AS36" s="134">
        <v>12187</v>
      </c>
      <c r="AT36" s="134">
        <v>12740</v>
      </c>
      <c r="AU36" s="134">
        <v>9300</v>
      </c>
      <c r="AV36" s="134">
        <v>19026</v>
      </c>
      <c r="AW36" s="134">
        <f>SUM(AS36:AV36)</f>
        <v>53253</v>
      </c>
      <c r="AX36" s="134">
        <v>5891</v>
      </c>
      <c r="AY36" s="134">
        <v>6309</v>
      </c>
      <c r="AZ36" s="134">
        <v>4063</v>
      </c>
      <c r="BA36" s="134">
        <v>10020</v>
      </c>
      <c r="BB36" s="134">
        <f>SUM(AX36:BA36)</f>
        <v>26283</v>
      </c>
      <c r="BC36" s="134">
        <v>7088</v>
      </c>
      <c r="BD36" s="135">
        <v>5953</v>
      </c>
      <c r="BE36" s="135">
        <v>29097</v>
      </c>
      <c r="BF36" s="135">
        <v>8259</v>
      </c>
      <c r="BG36" s="135">
        <f>SUM(BC36:BF36)</f>
        <v>50397</v>
      </c>
      <c r="BH36" s="134">
        <v>7469.1936625359504</v>
      </c>
      <c r="BI36" s="134">
        <v>4363</v>
      </c>
      <c r="BJ36" s="134">
        <v>3019</v>
      </c>
      <c r="BK36" s="134">
        <v>6256</v>
      </c>
      <c r="BL36" s="135">
        <f>SUM(BH36:BK36)</f>
        <v>21107.193662535952</v>
      </c>
      <c r="BM36" s="134">
        <v>4563</v>
      </c>
      <c r="BN36" s="134">
        <v>5669.9150925878203</v>
      </c>
      <c r="BO36" s="134">
        <v>24263</v>
      </c>
    </row>
    <row r="37" spans="2:67" x14ac:dyDescent="0.2">
      <c r="B37" s="133" t="s">
        <v>691</v>
      </c>
      <c r="C37" s="105" t="s">
        <v>687</v>
      </c>
      <c r="D37" s="134">
        <v>-94777</v>
      </c>
      <c r="E37" s="134">
        <v>-117217</v>
      </c>
      <c r="F37" s="134">
        <v>-124027</v>
      </c>
      <c r="G37" s="134">
        <v>-116587</v>
      </c>
      <c r="H37" s="134">
        <v>-452608</v>
      </c>
      <c r="I37" s="134">
        <v>-107811</v>
      </c>
      <c r="J37" s="134">
        <v>-122271</v>
      </c>
      <c r="K37" s="134">
        <v>-105249</v>
      </c>
      <c r="L37" s="134">
        <v>-108870</v>
      </c>
      <c r="M37" s="134">
        <v>-444201</v>
      </c>
      <c r="N37" s="134">
        <v>-110174</v>
      </c>
      <c r="O37" s="134">
        <v>-116251</v>
      </c>
      <c r="P37" s="134">
        <v>-113794</v>
      </c>
      <c r="Q37" s="134">
        <v>-122304</v>
      </c>
      <c r="R37" s="134">
        <v>-462524</v>
      </c>
      <c r="S37" s="134">
        <v>-131384</v>
      </c>
      <c r="T37" s="134">
        <v>-113034</v>
      </c>
      <c r="U37" s="134">
        <v>-85930</v>
      </c>
      <c r="V37" s="134">
        <v>-99686</v>
      </c>
      <c r="W37" s="134">
        <v>-430034</v>
      </c>
      <c r="X37" s="134">
        <v>-95333</v>
      </c>
      <c r="Y37" s="134">
        <v>-110250</v>
      </c>
      <c r="Z37" s="134">
        <v>-107909</v>
      </c>
      <c r="AA37" s="134">
        <v>-99865</v>
      </c>
      <c r="AB37" s="134">
        <v>-413357</v>
      </c>
      <c r="AC37" s="134">
        <v>-103049</v>
      </c>
      <c r="AD37" s="134">
        <v>-103583</v>
      </c>
      <c r="AE37" s="134">
        <v>-103931</v>
      </c>
      <c r="AF37" s="134">
        <v>-105773</v>
      </c>
      <c r="AG37" s="134">
        <f>SUM(AC37:AF37)</f>
        <v>-416336</v>
      </c>
      <c r="AH37" s="134">
        <v>-95788</v>
      </c>
      <c r="AI37" s="134">
        <v>-102545</v>
      </c>
      <c r="AJ37" s="134">
        <v>-104720</v>
      </c>
      <c r="AK37" s="134">
        <v>-90233</v>
      </c>
      <c r="AL37" s="134">
        <f>SUM(AH37:AK37)</f>
        <v>-393286</v>
      </c>
      <c r="AM37" s="134">
        <v>-86217</v>
      </c>
      <c r="AN37" s="134">
        <v>-91252</v>
      </c>
      <c r="AO37" s="134">
        <v>-91310</v>
      </c>
      <c r="AP37" s="134">
        <v>-87490</v>
      </c>
      <c r="AQ37" s="134">
        <f>SUM(AM37:AP37)</f>
        <v>-356269</v>
      </c>
      <c r="AS37" s="134">
        <v>-133355</v>
      </c>
      <c r="AT37" s="134">
        <v>-139171</v>
      </c>
      <c r="AU37" s="134">
        <v>-135827</v>
      </c>
      <c r="AV37" s="134">
        <v>-130784</v>
      </c>
      <c r="AW37" s="134">
        <f>SUM(AS37:AV37)</f>
        <v>-539137</v>
      </c>
      <c r="AX37" s="134">
        <v>-138446</v>
      </c>
      <c r="AY37" s="134">
        <v>-141799</v>
      </c>
      <c r="AZ37" s="134">
        <v>-145813</v>
      </c>
      <c r="BA37" s="134">
        <v>-163876</v>
      </c>
      <c r="BB37" s="134">
        <f>SUM(AX37:BA37)</f>
        <v>-589934</v>
      </c>
      <c r="BC37" s="134">
        <v>-127354</v>
      </c>
      <c r="BD37" s="135">
        <v>-128795</v>
      </c>
      <c r="BE37" s="135">
        <v>-114506</v>
      </c>
      <c r="BF37" s="135">
        <v>-216324</v>
      </c>
      <c r="BG37" s="135">
        <f>SUM(BC37:BF37)</f>
        <v>-586979</v>
      </c>
      <c r="BH37" s="134">
        <v>-193647.02889755898</v>
      </c>
      <c r="BI37" s="134">
        <v>-188880</v>
      </c>
      <c r="BJ37" s="134">
        <v>-206130</v>
      </c>
      <c r="BK37" s="134">
        <v>-216887</v>
      </c>
      <c r="BL37" s="135">
        <f>SUM(BH37:BK37)</f>
        <v>-805544.02889755904</v>
      </c>
      <c r="BM37" s="134">
        <v>-259399</v>
      </c>
      <c r="BN37" s="134">
        <v>-206421.51628303819</v>
      </c>
      <c r="BO37" s="134">
        <v>-239631</v>
      </c>
    </row>
    <row r="38" spans="2:67" x14ac:dyDescent="0.2">
      <c r="B38" s="133" t="s">
        <v>692</v>
      </c>
      <c r="C38" s="105" t="s">
        <v>687</v>
      </c>
      <c r="D38" s="134">
        <v>93008</v>
      </c>
      <c r="E38" s="134">
        <v>135624</v>
      </c>
      <c r="F38" s="134">
        <v>-744068</v>
      </c>
      <c r="G38" s="134">
        <v>-42721</v>
      </c>
      <c r="H38" s="134">
        <v>-558157</v>
      </c>
      <c r="I38" s="134">
        <v>151528</v>
      </c>
      <c r="J38" s="134">
        <v>-435557</v>
      </c>
      <c r="K38" s="134">
        <v>9346</v>
      </c>
      <c r="L38" s="134">
        <v>-54207</v>
      </c>
      <c r="M38" s="134">
        <v>-328890</v>
      </c>
      <c r="N38" s="134">
        <v>37502</v>
      </c>
      <c r="O38" s="134">
        <v>-386570</v>
      </c>
      <c r="P38" s="134">
        <v>-46405</v>
      </c>
      <c r="Q38" s="134">
        <v>-142623</v>
      </c>
      <c r="R38" s="134">
        <v>-538097</v>
      </c>
      <c r="S38" s="134">
        <v>-27303</v>
      </c>
      <c r="T38" s="134">
        <v>33469</v>
      </c>
      <c r="U38" s="134">
        <v>-152729</v>
      </c>
      <c r="V38" s="134">
        <v>37963</v>
      </c>
      <c r="W38" s="134">
        <v>-108599</v>
      </c>
      <c r="X38" s="134">
        <v>-197965</v>
      </c>
      <c r="Y38" s="134">
        <v>20219</v>
      </c>
      <c r="Z38" s="134">
        <v>-231060</v>
      </c>
      <c r="AA38" s="134">
        <v>-123951</v>
      </c>
      <c r="AB38" s="134">
        <v>-532757</v>
      </c>
      <c r="AC38" s="134">
        <v>71433.987212188309</v>
      </c>
      <c r="AD38" s="134">
        <v>59031</v>
      </c>
      <c r="AE38" s="134">
        <v>-1352</v>
      </c>
      <c r="AF38" s="134">
        <v>-81755</v>
      </c>
      <c r="AG38" s="134">
        <f>SUM(AC38:AF38)</f>
        <v>47357.987212188309</v>
      </c>
      <c r="AH38" s="134">
        <v>48874</v>
      </c>
      <c r="AI38" s="134">
        <v>-60929</v>
      </c>
      <c r="AJ38" s="134">
        <v>40614</v>
      </c>
      <c r="AK38" s="134">
        <v>-54284</v>
      </c>
      <c r="AL38" s="134">
        <f>SUM(AH38:AK38)</f>
        <v>-25725</v>
      </c>
      <c r="AM38" s="134">
        <v>-211</v>
      </c>
      <c r="AN38" s="134">
        <v>-47097</v>
      </c>
      <c r="AO38" s="134">
        <v>-58010</v>
      </c>
      <c r="AP38" s="134">
        <v>244</v>
      </c>
      <c r="AQ38" s="134">
        <f>SUM(AM38:AP38)</f>
        <v>-105074</v>
      </c>
      <c r="AS38" s="134">
        <v>-211</v>
      </c>
      <c r="AT38" s="134">
        <v>-145977</v>
      </c>
      <c r="AU38" s="134">
        <v>-82847</v>
      </c>
      <c r="AV38" s="134">
        <v>243600.27225840033</v>
      </c>
      <c r="AW38" s="134">
        <f>SUM(AS38:AV38)</f>
        <v>14565.272258400335</v>
      </c>
      <c r="AX38" s="134">
        <v>6877</v>
      </c>
      <c r="AY38" s="134">
        <v>28101</v>
      </c>
      <c r="AZ38" s="134">
        <v>-72319</v>
      </c>
      <c r="BA38" s="134">
        <v>1306</v>
      </c>
      <c r="BB38" s="134">
        <f>SUM(AX38:BA38)</f>
        <v>-36035</v>
      </c>
      <c r="BC38" s="134">
        <v>-1896501</v>
      </c>
      <c r="BD38" s="135">
        <v>-433638</v>
      </c>
      <c r="BE38" s="135">
        <v>-64833</v>
      </c>
      <c r="BF38" s="135">
        <v>-508881</v>
      </c>
      <c r="BG38" s="135">
        <f>SUM(BC38:BF38)</f>
        <v>-2903853</v>
      </c>
      <c r="BH38" s="134">
        <v>-108688.5805755583</v>
      </c>
      <c r="BI38" s="134">
        <v>-585401</v>
      </c>
      <c r="BJ38" s="134">
        <v>-102807</v>
      </c>
      <c r="BK38" s="134">
        <v>-1383596</v>
      </c>
      <c r="BL38" s="135">
        <f>SUM(BH38:BK38)</f>
        <v>-2180492.5805755584</v>
      </c>
      <c r="BM38" s="134">
        <v>831</v>
      </c>
      <c r="BN38" s="134">
        <v>-135572.57449370495</v>
      </c>
      <c r="BO38" s="134">
        <v>-223494</v>
      </c>
    </row>
    <row r="39" spans="2:67" x14ac:dyDescent="0.2">
      <c r="B39" s="137" t="s">
        <v>693</v>
      </c>
      <c r="C39" s="138" t="s">
        <v>687</v>
      </c>
      <c r="D39" s="139">
        <v>27658</v>
      </c>
      <c r="E39" s="139">
        <v>75786</v>
      </c>
      <c r="F39" s="139">
        <v>-829081</v>
      </c>
      <c r="G39" s="139">
        <v>-124569</v>
      </c>
      <c r="H39" s="139">
        <v>-850206</v>
      </c>
      <c r="I39" s="139">
        <v>83032</v>
      </c>
      <c r="J39" s="139">
        <v>-519722</v>
      </c>
      <c r="K39" s="139">
        <v>-72014</v>
      </c>
      <c r="L39" s="139">
        <v>-147215</v>
      </c>
      <c r="M39" s="139">
        <v>-655919</v>
      </c>
      <c r="N39" s="139">
        <v>-42846</v>
      </c>
      <c r="O39" s="139">
        <v>-492900</v>
      </c>
      <c r="P39" s="139">
        <v>-148196</v>
      </c>
      <c r="Q39" s="139">
        <v>-243850</v>
      </c>
      <c r="R39" s="139">
        <v>-927793</v>
      </c>
      <c r="S39" s="139">
        <v>-139146</v>
      </c>
      <c r="T39" s="139">
        <v>-53857</v>
      </c>
      <c r="U39" s="139">
        <v>-215312</v>
      </c>
      <c r="V39" s="139">
        <v>-39819</v>
      </c>
      <c r="W39" s="139">
        <v>-448133</v>
      </c>
      <c r="X39" s="139">
        <v>-274808</v>
      </c>
      <c r="Y39" s="139">
        <v>-76637</v>
      </c>
      <c r="Z39" s="139">
        <v>-306263</v>
      </c>
      <c r="AA39" s="139">
        <v>-213326</v>
      </c>
      <c r="AB39" s="139">
        <v>-871034</v>
      </c>
      <c r="AC39" s="139">
        <v>-20750.835221708869</v>
      </c>
      <c r="AD39" s="139">
        <v>-23998</v>
      </c>
      <c r="AE39" s="139">
        <v>-83554</v>
      </c>
      <c r="AF39" s="139">
        <f>AF36+AF37+AF38</f>
        <v>-165726</v>
      </c>
      <c r="AG39" s="139">
        <f>SUM(AC39:AF39)</f>
        <v>-294028.83522170887</v>
      </c>
      <c r="AH39" s="139">
        <f>AH36+AH37+AH38</f>
        <v>-23990</v>
      </c>
      <c r="AI39" s="139">
        <f>AI36+AI37+AI38</f>
        <v>-144174</v>
      </c>
      <c r="AJ39" s="139">
        <f>AJ36+AJ37+AJ38</f>
        <v>-39674</v>
      </c>
      <c r="AK39" s="139">
        <f>AK36+AK37+AK38</f>
        <v>-132478</v>
      </c>
      <c r="AL39" s="139">
        <f>SUM(AH39:AK39)</f>
        <v>-340316</v>
      </c>
      <c r="AM39" s="139">
        <f>AM36+AM37+AM38</f>
        <v>-74241</v>
      </c>
      <c r="AN39" s="139">
        <f>AN36+AN37+AN38</f>
        <v>-125609</v>
      </c>
      <c r="AO39" s="139">
        <f>AO36+AO37+AO38</f>
        <v>-140020</v>
      </c>
      <c r="AP39" s="139">
        <f>AP36+AP37+AP38</f>
        <v>-68220</v>
      </c>
      <c r="AQ39" s="139">
        <f>SUM(AM39:AP39)</f>
        <v>-408090</v>
      </c>
      <c r="AS39" s="139">
        <f>AS36+AS37+AS38</f>
        <v>-121379</v>
      </c>
      <c r="AT39" s="139">
        <f>AT36+AT37+AT38</f>
        <v>-272408</v>
      </c>
      <c r="AU39" s="139">
        <f>AU36+AU37+AU38</f>
        <v>-209374</v>
      </c>
      <c r="AV39" s="139">
        <f>AV36+AV37+AV38</f>
        <v>131842.27225840033</v>
      </c>
      <c r="AW39" s="139">
        <f>SUM(AS39:AV39)</f>
        <v>-471318.72774159967</v>
      </c>
      <c r="AX39" s="139">
        <f>AX36+AX37+AX38</f>
        <v>-125678</v>
      </c>
      <c r="AY39" s="139">
        <f>AY36+AY37+AY38</f>
        <v>-107389</v>
      </c>
      <c r="AZ39" s="139">
        <f>AZ36+AZ37+AZ38</f>
        <v>-214069</v>
      </c>
      <c r="BA39" s="139">
        <f>BA36+BA37+BA38</f>
        <v>-152550</v>
      </c>
      <c r="BB39" s="139">
        <f>SUM(AX39:BA39)</f>
        <v>-599686</v>
      </c>
      <c r="BC39" s="139">
        <f>BC36+BC37+BC38</f>
        <v>-2016767</v>
      </c>
      <c r="BD39" s="140">
        <f>BD36+BD37+BD38</f>
        <v>-556480</v>
      </c>
      <c r="BE39" s="140">
        <f>BE36+BE37+BE38</f>
        <v>-150242</v>
      </c>
      <c r="BF39" s="140">
        <f>BF36+BF37+BF38</f>
        <v>-716946</v>
      </c>
      <c r="BG39" s="140">
        <f>SUM(BC39:BF39)</f>
        <v>-3440435</v>
      </c>
      <c r="BH39" s="139">
        <f t="shared" ref="BH39:BK39" si="44">BH36+BH37+BH38</f>
        <v>-294866.4158105813</v>
      </c>
      <c r="BI39" s="139">
        <f t="shared" si="44"/>
        <v>-769918</v>
      </c>
      <c r="BJ39" s="139">
        <f t="shared" si="44"/>
        <v>-305918</v>
      </c>
      <c r="BK39" s="139">
        <f t="shared" si="44"/>
        <v>-1594227</v>
      </c>
      <c r="BL39" s="140">
        <f>SUM(BH39:BK39)</f>
        <v>-2964929.4158105813</v>
      </c>
      <c r="BM39" s="139">
        <f t="shared" ref="BM39:BO39" si="45">BM36+BM37+BM38</f>
        <v>-254005</v>
      </c>
      <c r="BN39" s="139">
        <f t="shared" si="45"/>
        <v>-336324.17568415531</v>
      </c>
      <c r="BO39" s="139">
        <f t="shared" si="45"/>
        <v>-438862</v>
      </c>
    </row>
    <row r="40" spans="2:67" x14ac:dyDescent="0.2">
      <c r="B40" s="106" t="s">
        <v>669</v>
      </c>
      <c r="C40" s="105"/>
      <c r="D40" s="134"/>
      <c r="E40" s="134"/>
      <c r="F40" s="134"/>
      <c r="G40" s="134"/>
      <c r="H40" s="134"/>
      <c r="I40" s="134"/>
      <c r="J40" s="134"/>
      <c r="K40" s="134"/>
      <c r="L40" s="134"/>
      <c r="M40" s="134"/>
      <c r="N40" s="134"/>
      <c r="O40" s="134"/>
      <c r="P40" s="134"/>
      <c r="Q40" s="134"/>
      <c r="R40" s="134"/>
      <c r="S40" s="134"/>
      <c r="T40" s="134"/>
      <c r="U40" s="134"/>
      <c r="V40" s="134"/>
      <c r="W40" s="134"/>
      <c r="X40" s="134"/>
      <c r="Y40" s="134"/>
      <c r="Z40" s="134"/>
      <c r="AA40" s="134"/>
      <c r="AB40" s="134"/>
      <c r="AC40" s="134"/>
      <c r="AD40" s="134"/>
      <c r="AE40" s="134"/>
      <c r="AF40" s="134"/>
      <c r="AG40" s="134"/>
      <c r="AH40" s="134"/>
      <c r="AI40" s="134"/>
      <c r="AJ40" s="134"/>
      <c r="AK40" s="134"/>
      <c r="AL40" s="134"/>
      <c r="AM40" s="134"/>
      <c r="AN40" s="134"/>
      <c r="AO40" s="134"/>
      <c r="AP40" s="134"/>
      <c r="AQ40" s="134"/>
      <c r="AS40" s="134"/>
      <c r="AT40" s="134"/>
      <c r="AU40" s="134"/>
      <c r="AV40" s="134"/>
      <c r="AW40" s="134"/>
      <c r="AX40" s="134"/>
      <c r="AY40" s="134"/>
      <c r="AZ40" s="134"/>
      <c r="BA40" s="134"/>
      <c r="BB40" s="134"/>
      <c r="BC40" s="134"/>
      <c r="BD40" s="135"/>
      <c r="BE40" s="135"/>
      <c r="BF40" s="135"/>
      <c r="BG40" s="135"/>
      <c r="BH40" s="134"/>
      <c r="BI40" s="134"/>
      <c r="BJ40" s="134"/>
      <c r="BK40" s="134"/>
      <c r="BL40" s="135"/>
      <c r="BM40" s="134"/>
      <c r="BN40" s="134"/>
      <c r="BO40" s="134"/>
    </row>
    <row r="41" spans="2:67" x14ac:dyDescent="0.2">
      <c r="B41" s="148" t="s">
        <v>525</v>
      </c>
      <c r="C41" s="149" t="s">
        <v>687</v>
      </c>
      <c r="D41" s="150">
        <v>222944.32392618479</v>
      </c>
      <c r="E41" s="150">
        <v>119438.41528350487</v>
      </c>
      <c r="F41" s="150">
        <v>-364056.1517973328</v>
      </c>
      <c r="G41" s="150">
        <v>182414.41258764314</v>
      </c>
      <c r="H41" s="150">
        <v>160740.99999999814</v>
      </c>
      <c r="I41" s="150">
        <v>97738</v>
      </c>
      <c r="J41" s="150">
        <v>-636714</v>
      </c>
      <c r="K41" s="150">
        <v>33370</v>
      </c>
      <c r="L41" s="150">
        <v>-58939</v>
      </c>
      <c r="M41" s="150">
        <v>-564544</v>
      </c>
      <c r="N41" s="150">
        <v>71357</v>
      </c>
      <c r="O41" s="150">
        <v>-453540</v>
      </c>
      <c r="P41" s="150">
        <v>107288</v>
      </c>
      <c r="Q41" s="150">
        <v>-8991</v>
      </c>
      <c r="R41" s="150">
        <v>-283888</v>
      </c>
      <c r="S41" s="150">
        <v>-26524</v>
      </c>
      <c r="T41" s="150">
        <v>-38496</v>
      </c>
      <c r="U41" s="150">
        <v>-96939</v>
      </c>
      <c r="V41" s="150">
        <v>227192</v>
      </c>
      <c r="W41" s="150">
        <v>65233</v>
      </c>
      <c r="X41" s="150">
        <v>-47828</v>
      </c>
      <c r="Y41" s="150">
        <v>-59420</v>
      </c>
      <c r="Z41" s="150">
        <v>-185693</v>
      </c>
      <c r="AA41" s="150">
        <v>-64174</v>
      </c>
      <c r="AB41" s="150">
        <v>-357115</v>
      </c>
      <c r="AC41" s="150">
        <v>198358.73759496713</v>
      </c>
      <c r="AD41" s="150">
        <v>-22692</v>
      </c>
      <c r="AE41" s="150">
        <v>68765</v>
      </c>
      <c r="AF41" s="150">
        <f>AF26+AF39</f>
        <v>29442</v>
      </c>
      <c r="AG41" s="150">
        <f>SUM(AC41:AF41)</f>
        <v>273873.73759496713</v>
      </c>
      <c r="AH41" s="150">
        <f>AH26+AH39</f>
        <v>128288</v>
      </c>
      <c r="AI41" s="150">
        <f>AI26+AI39</f>
        <v>-95971</v>
      </c>
      <c r="AJ41" s="150">
        <f>AJ26+AJ39</f>
        <v>204355</v>
      </c>
      <c r="AK41" s="150">
        <f>AK26+AK39</f>
        <v>137546</v>
      </c>
      <c r="AL41" s="150">
        <f>SUM(AH41:AK41)</f>
        <v>374218</v>
      </c>
      <c r="AM41" s="150">
        <f>AM26+AM39</f>
        <v>154295</v>
      </c>
      <c r="AN41" s="150">
        <f>AN26+AN39</f>
        <v>-119129</v>
      </c>
      <c r="AO41" s="150">
        <f>AO26+AO39</f>
        <v>34930</v>
      </c>
      <c r="AP41" s="150">
        <f>AP26+AP39</f>
        <v>226933</v>
      </c>
      <c r="AQ41" s="150">
        <f>SUM(AM41:AP41)</f>
        <v>297029</v>
      </c>
      <c r="AS41" s="150">
        <f>AS26+AS39</f>
        <v>149065</v>
      </c>
      <c r="AT41" s="150">
        <f>AT26+AT39</f>
        <v>-219757</v>
      </c>
      <c r="AU41" s="150">
        <f>AU26+AU39</f>
        <v>11389</v>
      </c>
      <c r="AV41" s="150">
        <f>AV26+AV39</f>
        <v>474967.27225840033</v>
      </c>
      <c r="AW41" s="150">
        <f>SUM(AS41:AV41)</f>
        <v>415664.27225840033</v>
      </c>
      <c r="AX41" s="150">
        <f>AX26+AX39</f>
        <v>-43556</v>
      </c>
      <c r="AY41" s="150">
        <f>AY26+AY39</f>
        <v>-67196</v>
      </c>
      <c r="AZ41" s="150">
        <f>AZ26+AZ39</f>
        <v>54820</v>
      </c>
      <c r="BA41" s="150">
        <f>BA26+BA39</f>
        <v>197847</v>
      </c>
      <c r="BB41" s="150">
        <f>SUM(AX41:BA41)</f>
        <v>141915</v>
      </c>
      <c r="BC41" s="150">
        <f>BC26+BC39</f>
        <v>-1920825</v>
      </c>
      <c r="BD41" s="151">
        <f>BD26+BD39</f>
        <v>-1251290</v>
      </c>
      <c r="BE41" s="151">
        <f>BE26+BE39</f>
        <v>-714902</v>
      </c>
      <c r="BF41" s="151">
        <f>BF26+BF39</f>
        <v>-1218706</v>
      </c>
      <c r="BG41" s="151">
        <f>SUM(BC41:BF41)</f>
        <v>-5105723</v>
      </c>
      <c r="BH41" s="150">
        <f t="shared" ref="BH41:BK41" si="46">BH26+BH39</f>
        <v>-650598.40294518787</v>
      </c>
      <c r="BI41" s="150">
        <f t="shared" si="46"/>
        <v>-1127665.6117240218</v>
      </c>
      <c r="BJ41" s="150">
        <f t="shared" si="46"/>
        <v>-785144</v>
      </c>
      <c r="BK41" s="150">
        <f t="shared" si="46"/>
        <v>-1520797.2428192641</v>
      </c>
      <c r="BL41" s="151">
        <f>SUM(BH41:BK41)</f>
        <v>-4084205.2574884738</v>
      </c>
      <c r="BM41" s="150">
        <f t="shared" ref="BM41:BO41" si="47">BM26+BM39</f>
        <v>-392160.26205581357</v>
      </c>
      <c r="BN41" s="150">
        <f t="shared" si="47"/>
        <v>-522312.59339202882</v>
      </c>
      <c r="BO41" s="150">
        <f t="shared" si="47"/>
        <v>-375737.9837092068</v>
      </c>
    </row>
    <row r="42" spans="2:67" x14ac:dyDescent="0.2">
      <c r="B42" s="128"/>
      <c r="C42" s="105"/>
      <c r="D42" s="157"/>
      <c r="E42" s="157"/>
      <c r="F42" s="157"/>
      <c r="G42" s="157"/>
      <c r="H42" s="157"/>
      <c r="I42" s="157"/>
      <c r="J42" s="157"/>
      <c r="K42" s="157"/>
      <c r="L42" s="157"/>
      <c r="M42" s="157"/>
      <c r="N42" s="157"/>
      <c r="O42" s="157"/>
      <c r="P42" s="157"/>
      <c r="Q42" s="157"/>
      <c r="R42" s="157"/>
      <c r="S42" s="157"/>
      <c r="T42" s="157"/>
      <c r="U42" s="157"/>
      <c r="V42" s="157"/>
      <c r="W42" s="157"/>
      <c r="X42" s="157"/>
      <c r="Y42" s="157"/>
      <c r="Z42" s="157"/>
      <c r="AA42" s="157"/>
      <c r="AB42" s="157"/>
      <c r="AC42" s="157"/>
      <c r="AD42" s="157"/>
      <c r="AE42" s="157"/>
      <c r="AF42" s="157"/>
      <c r="AG42" s="157"/>
      <c r="AH42" s="157"/>
      <c r="AI42" s="157"/>
      <c r="AJ42" s="157"/>
      <c r="AK42" s="157"/>
      <c r="AL42" s="157"/>
      <c r="AM42" s="157"/>
      <c r="AN42" s="157"/>
      <c r="AO42" s="157"/>
      <c r="AP42" s="157"/>
      <c r="AQ42" s="157"/>
      <c r="AS42" s="157"/>
      <c r="AT42" s="157"/>
      <c r="AU42" s="157"/>
      <c r="AV42" s="157"/>
      <c r="AW42" s="157"/>
      <c r="AX42" s="157"/>
      <c r="AY42" s="157"/>
      <c r="AZ42" s="157"/>
      <c r="BA42" s="157"/>
      <c r="BB42" s="157"/>
      <c r="BC42" s="157"/>
      <c r="BD42" s="158"/>
      <c r="BE42" s="158"/>
      <c r="BF42" s="158"/>
      <c r="BG42" s="158"/>
      <c r="BH42" s="157"/>
      <c r="BI42" s="157"/>
      <c r="BJ42" s="157"/>
      <c r="BK42" s="157"/>
      <c r="BL42" s="158"/>
      <c r="BM42" s="157"/>
      <c r="BN42" s="157"/>
      <c r="BO42" s="157"/>
    </row>
    <row r="43" spans="2:67" x14ac:dyDescent="0.2">
      <c r="B43" s="133" t="s">
        <v>526</v>
      </c>
      <c r="C43" s="105" t="s">
        <v>687</v>
      </c>
      <c r="D43" s="134">
        <v>-66346.490134902895</v>
      </c>
      <c r="E43" s="134">
        <v>-60697.021196391608</v>
      </c>
      <c r="F43" s="134">
        <v>108910.59161109311</v>
      </c>
      <c r="G43" s="134">
        <v>-53015.980279798605</v>
      </c>
      <c r="H43" s="134">
        <v>-71148.899999999994</v>
      </c>
      <c r="I43" s="134">
        <v>-46211</v>
      </c>
      <c r="J43" s="134">
        <v>190385</v>
      </c>
      <c r="K43" s="134">
        <v>-75050</v>
      </c>
      <c r="L43" s="134">
        <v>553</v>
      </c>
      <c r="M43" s="134">
        <v>69676</v>
      </c>
      <c r="N43" s="134">
        <v>-32873</v>
      </c>
      <c r="O43" s="134">
        <v>130695</v>
      </c>
      <c r="P43" s="134">
        <v>-52078</v>
      </c>
      <c r="Q43" s="134">
        <v>-25675</v>
      </c>
      <c r="R43" s="134">
        <v>20069</v>
      </c>
      <c r="S43" s="134">
        <v>-12459</v>
      </c>
      <c r="T43" s="134">
        <v>-16432</v>
      </c>
      <c r="U43" s="134">
        <v>4106</v>
      </c>
      <c r="V43" s="134">
        <v>-117409</v>
      </c>
      <c r="W43" s="134">
        <v>-142194</v>
      </c>
      <c r="X43" s="134">
        <v>23553</v>
      </c>
      <c r="Y43" s="134">
        <v>13400</v>
      </c>
      <c r="Z43" s="134">
        <v>82204</v>
      </c>
      <c r="AA43" s="134">
        <v>59226</v>
      </c>
      <c r="AB43" s="134">
        <v>178383</v>
      </c>
      <c r="AC43" s="134">
        <v>-82327</v>
      </c>
      <c r="AD43" s="134">
        <v>-62572</v>
      </c>
      <c r="AE43" s="134">
        <v>-52441</v>
      </c>
      <c r="AF43" s="134">
        <v>34136</v>
      </c>
      <c r="AG43" s="134">
        <f>SUM(AC43:AF43)</f>
        <v>-163204</v>
      </c>
      <c r="AH43" s="134">
        <v>-53488</v>
      </c>
      <c r="AI43" s="134">
        <v>-28019</v>
      </c>
      <c r="AJ43" s="134">
        <v>-26096</v>
      </c>
      <c r="AK43" s="134">
        <v>-65901</v>
      </c>
      <c r="AL43" s="134">
        <f>SUM(AH43:AK43)</f>
        <v>-173504</v>
      </c>
      <c r="AM43" s="134">
        <v>-46723</v>
      </c>
      <c r="AN43" s="134">
        <v>7452</v>
      </c>
      <c r="AO43" s="134">
        <v>20440</v>
      </c>
      <c r="AP43" s="134">
        <v>-64951</v>
      </c>
      <c r="AQ43" s="134">
        <f>SUM(AM43:AP43)</f>
        <v>-83782</v>
      </c>
      <c r="AS43" s="134">
        <v>-43213</v>
      </c>
      <c r="AT43" s="134">
        <v>13881</v>
      </c>
      <c r="AU43" s="134">
        <v>26365</v>
      </c>
      <c r="AV43" s="134">
        <v>-70913</v>
      </c>
      <c r="AW43" s="134">
        <f>SUM(AS43:AV43)</f>
        <v>-73880</v>
      </c>
      <c r="AX43" s="134">
        <v>-13041</v>
      </c>
      <c r="AY43" s="134">
        <v>3767</v>
      </c>
      <c r="AZ43" s="134">
        <v>32202</v>
      </c>
      <c r="BA43" s="134">
        <v>30770</v>
      </c>
      <c r="BB43" s="134">
        <f>SUM(AX43:BA43)</f>
        <v>53698</v>
      </c>
      <c r="BC43" s="134">
        <v>-202676</v>
      </c>
      <c r="BD43" s="135">
        <v>357443</v>
      </c>
      <c r="BE43" s="135">
        <v>141017</v>
      </c>
      <c r="BF43" s="135">
        <v>254404</v>
      </c>
      <c r="BG43" s="135">
        <f>SUM(BC43:BF43)</f>
        <v>550188</v>
      </c>
      <c r="BH43" s="134">
        <v>216929.3879448612</v>
      </c>
      <c r="BI43" s="134">
        <v>355389</v>
      </c>
      <c r="BJ43" s="134">
        <v>90994</v>
      </c>
      <c r="BK43" s="134">
        <v>-1232247</v>
      </c>
      <c r="BL43" s="135">
        <f>SUM(BH43:BK43)</f>
        <v>-568934.6120551388</v>
      </c>
      <c r="BM43" s="134">
        <v>10895.196014765253</v>
      </c>
      <c r="BN43" s="134">
        <v>-1962.3684219767201</v>
      </c>
      <c r="BO43" s="134">
        <v>79252</v>
      </c>
    </row>
    <row r="44" spans="2:67" x14ac:dyDescent="0.2">
      <c r="B44" s="133"/>
      <c r="C44" s="105"/>
      <c r="D44" s="134"/>
      <c r="E44" s="134"/>
      <c r="F44" s="134"/>
      <c r="G44" s="134"/>
      <c r="H44" s="134"/>
      <c r="I44" s="134"/>
      <c r="J44" s="134"/>
      <c r="K44" s="134"/>
      <c r="L44" s="134"/>
      <c r="M44" s="134"/>
      <c r="N44" s="134"/>
      <c r="O44" s="134"/>
      <c r="P44" s="134"/>
      <c r="Q44" s="134"/>
      <c r="R44" s="134"/>
      <c r="S44" s="134"/>
      <c r="T44" s="134"/>
      <c r="U44" s="134"/>
      <c r="V44" s="134"/>
      <c r="W44" s="134"/>
      <c r="X44" s="134"/>
      <c r="Y44" s="134"/>
      <c r="Z44" s="134"/>
      <c r="AA44" s="134"/>
      <c r="AB44" s="134"/>
      <c r="AC44" s="134"/>
      <c r="AD44" s="134"/>
      <c r="AE44" s="134"/>
      <c r="AF44" s="134"/>
      <c r="AG44" s="134"/>
      <c r="AH44" s="134"/>
      <c r="AI44" s="134"/>
      <c r="AJ44" s="134"/>
      <c r="AK44" s="134"/>
      <c r="AL44" s="134"/>
      <c r="AM44" s="134"/>
      <c r="AN44" s="134"/>
      <c r="AO44" s="134"/>
      <c r="AP44" s="134"/>
      <c r="AQ44" s="134"/>
      <c r="AS44" s="134"/>
      <c r="AT44" s="134"/>
      <c r="AU44" s="134"/>
      <c r="AV44" s="134"/>
      <c r="AW44" s="134"/>
      <c r="AX44" s="134"/>
      <c r="AY44" s="134"/>
      <c r="AZ44" s="134"/>
      <c r="BA44" s="134"/>
      <c r="BB44" s="134"/>
      <c r="BC44" s="134"/>
      <c r="BD44" s="135"/>
      <c r="BE44" s="135"/>
      <c r="BF44" s="135"/>
      <c r="BG44" s="135"/>
      <c r="BH44" s="134"/>
      <c r="BI44" s="134"/>
      <c r="BJ44" s="134"/>
      <c r="BK44" s="134"/>
      <c r="BL44" s="135"/>
      <c r="BM44" s="134"/>
      <c r="BN44" s="134"/>
      <c r="BO44" s="134"/>
    </row>
    <row r="45" spans="2:67" x14ac:dyDescent="0.2">
      <c r="B45" s="148" t="s">
        <v>527</v>
      </c>
      <c r="C45" s="149" t="s">
        <v>687</v>
      </c>
      <c r="D45" s="150">
        <v>156597.83379128191</v>
      </c>
      <c r="E45" s="150">
        <v>58741.394087113265</v>
      </c>
      <c r="F45" s="150">
        <v>-255145.56018623969</v>
      </c>
      <c r="G45" s="150">
        <v>129398.43230784453</v>
      </c>
      <c r="H45" s="150">
        <v>89592.099999998143</v>
      </c>
      <c r="I45" s="150">
        <v>51527</v>
      </c>
      <c r="J45" s="150">
        <v>-446329</v>
      </c>
      <c r="K45" s="150">
        <v>-41680</v>
      </c>
      <c r="L45" s="150">
        <v>-58386</v>
      </c>
      <c r="M45" s="150">
        <v>-494868</v>
      </c>
      <c r="N45" s="150">
        <v>38484</v>
      </c>
      <c r="O45" s="150">
        <v>-322845</v>
      </c>
      <c r="P45" s="150">
        <v>55210</v>
      </c>
      <c r="Q45" s="150">
        <v>-34666</v>
      </c>
      <c r="R45" s="150">
        <v>-263819</v>
      </c>
      <c r="S45" s="150">
        <v>-38983</v>
      </c>
      <c r="T45" s="150">
        <v>-54928</v>
      </c>
      <c r="U45" s="150">
        <v>-92833</v>
      </c>
      <c r="V45" s="150">
        <v>109783</v>
      </c>
      <c r="W45" s="150">
        <v>-76961</v>
      </c>
      <c r="X45" s="150">
        <v>-24275</v>
      </c>
      <c r="Y45" s="150">
        <v>-46020</v>
      </c>
      <c r="Z45" s="150">
        <v>-103489</v>
      </c>
      <c r="AA45" s="150">
        <v>-4948</v>
      </c>
      <c r="AB45" s="150">
        <v>-178732</v>
      </c>
      <c r="AC45" s="150">
        <v>116031.73759496713</v>
      </c>
      <c r="AD45" s="150">
        <v>-85264</v>
      </c>
      <c r="AE45" s="150">
        <v>16324</v>
      </c>
      <c r="AF45" s="150">
        <f>AF41+AF43</f>
        <v>63578</v>
      </c>
      <c r="AG45" s="150">
        <f>SUM(AC45:AF45)</f>
        <v>110669.73759496713</v>
      </c>
      <c r="AH45" s="150">
        <f>AH41+AH43</f>
        <v>74800</v>
      </c>
      <c r="AI45" s="150">
        <f>AI41+AI43</f>
        <v>-123990</v>
      </c>
      <c r="AJ45" s="150">
        <f>AJ41+AJ43</f>
        <v>178259</v>
      </c>
      <c r="AK45" s="150">
        <f>AK41+AK43</f>
        <v>71645</v>
      </c>
      <c r="AL45" s="150">
        <f>SUM(AH45:AK45)</f>
        <v>200714</v>
      </c>
      <c r="AM45" s="150">
        <f>AM41+AM43</f>
        <v>107572</v>
      </c>
      <c r="AN45" s="150">
        <f>AN41+AN43</f>
        <v>-111677</v>
      </c>
      <c r="AO45" s="150">
        <f>AO41+AO43</f>
        <v>55370</v>
      </c>
      <c r="AP45" s="150">
        <f>AP41+AP43</f>
        <v>161982</v>
      </c>
      <c r="AQ45" s="150">
        <f>SUM(AM45:AP45)</f>
        <v>213247</v>
      </c>
      <c r="AS45" s="150">
        <f>AS41+AS43</f>
        <v>105852</v>
      </c>
      <c r="AT45" s="150">
        <f>AT41+AT43</f>
        <v>-205876</v>
      </c>
      <c r="AU45" s="150">
        <f>AU41+AU43</f>
        <v>37754</v>
      </c>
      <c r="AV45" s="150">
        <f>AV41+AV43</f>
        <v>404054.27225840033</v>
      </c>
      <c r="AW45" s="150">
        <f>SUM(AS45:AV45)</f>
        <v>341784.27225840033</v>
      </c>
      <c r="AX45" s="150">
        <f>AX41+AX43</f>
        <v>-56597</v>
      </c>
      <c r="AY45" s="150">
        <f>AY41+AY43</f>
        <v>-63429</v>
      </c>
      <c r="AZ45" s="150">
        <f>AZ41+AZ43</f>
        <v>87022</v>
      </c>
      <c r="BA45" s="150">
        <f>BA41+BA43</f>
        <v>228617</v>
      </c>
      <c r="BB45" s="150">
        <f>SUM(AX45:BA45)</f>
        <v>195613</v>
      </c>
      <c r="BC45" s="150">
        <f>BC41+BC43</f>
        <v>-2123501</v>
      </c>
      <c r="BD45" s="151">
        <f>BD41+BD43</f>
        <v>-893847</v>
      </c>
      <c r="BE45" s="151">
        <f>BE41+BE43</f>
        <v>-573885</v>
      </c>
      <c r="BF45" s="151">
        <f>BF41+BF43</f>
        <v>-964302</v>
      </c>
      <c r="BG45" s="151">
        <f>SUM(BC45:BF45)</f>
        <v>-4555535</v>
      </c>
      <c r="BH45" s="150">
        <f t="shared" ref="BH45:BK45" si="48">BH41+BH43</f>
        <v>-433669.01500032668</v>
      </c>
      <c r="BI45" s="150">
        <f t="shared" si="48"/>
        <v>-772276.61172402184</v>
      </c>
      <c r="BJ45" s="150">
        <f t="shared" si="48"/>
        <v>-694150</v>
      </c>
      <c r="BK45" s="150">
        <f t="shared" si="48"/>
        <v>-2753044.2428192641</v>
      </c>
      <c r="BL45" s="151">
        <f>SUM(BH45:BK45)</f>
        <v>-4653139.869543612</v>
      </c>
      <c r="BM45" s="150">
        <f t="shared" ref="BM45:BO45" si="49">BM41+BM43</f>
        <v>-381265.06604104833</v>
      </c>
      <c r="BN45" s="150">
        <f t="shared" si="49"/>
        <v>-524274.96181400557</v>
      </c>
      <c r="BO45" s="150">
        <f t="shared" si="49"/>
        <v>-296485.9837092068</v>
      </c>
    </row>
    <row r="46" spans="2:67" x14ac:dyDescent="0.2">
      <c r="B46" s="128" t="s">
        <v>528</v>
      </c>
      <c r="C46" s="105"/>
      <c r="D46" s="157"/>
      <c r="E46" s="157"/>
      <c r="F46" s="157"/>
      <c r="G46" s="157"/>
      <c r="H46" s="157"/>
      <c r="I46" s="157"/>
      <c r="J46" s="157"/>
      <c r="K46" s="157"/>
      <c r="L46" s="157"/>
      <c r="M46" s="157"/>
      <c r="N46" s="157"/>
      <c r="O46" s="157"/>
      <c r="P46" s="157"/>
      <c r="Q46" s="157"/>
      <c r="R46" s="157"/>
      <c r="S46" s="157"/>
      <c r="T46" s="157"/>
      <c r="U46" s="157"/>
      <c r="V46" s="157"/>
      <c r="W46" s="157"/>
      <c r="X46" s="157"/>
      <c r="Y46" s="157"/>
      <c r="Z46" s="157"/>
      <c r="AA46" s="157"/>
      <c r="AB46" s="157"/>
      <c r="AC46" s="157"/>
      <c r="AD46" s="157"/>
      <c r="AE46" s="157"/>
      <c r="AF46" s="157"/>
      <c r="AG46" s="157"/>
      <c r="AH46" s="157"/>
      <c r="AI46" s="157"/>
      <c r="AJ46" s="157"/>
      <c r="AK46" s="157"/>
      <c r="AL46" s="157"/>
      <c r="AM46" s="157"/>
      <c r="AN46" s="157"/>
      <c r="AO46" s="157"/>
      <c r="AP46" s="157"/>
      <c r="AQ46" s="157"/>
      <c r="AS46" s="157"/>
      <c r="AT46" s="157"/>
      <c r="AU46" s="157"/>
      <c r="AV46" s="157"/>
      <c r="AW46" s="157"/>
      <c r="AX46" s="157"/>
      <c r="AY46" s="157"/>
      <c r="AZ46" s="157"/>
      <c r="BA46" s="157"/>
      <c r="BB46" s="157"/>
      <c r="BC46" s="157"/>
      <c r="BD46" s="158"/>
      <c r="BE46" s="158"/>
      <c r="BF46" s="158"/>
      <c r="BG46" s="158"/>
      <c r="BH46" s="157"/>
      <c r="BI46" s="157"/>
      <c r="BJ46" s="157"/>
      <c r="BK46" s="157"/>
      <c r="BL46" s="158"/>
      <c r="BM46" s="157"/>
      <c r="BN46" s="157"/>
      <c r="BO46" s="157"/>
    </row>
    <row r="47" spans="2:67" x14ac:dyDescent="0.2">
      <c r="B47" s="133" t="s">
        <v>529</v>
      </c>
      <c r="C47" s="105" t="s">
        <v>687</v>
      </c>
      <c r="D47" s="134">
        <v>144918.83379128191</v>
      </c>
      <c r="E47" s="134">
        <v>47328.452879497869</v>
      </c>
      <c r="F47" s="134">
        <v>-277341.56018623966</v>
      </c>
      <c r="G47" s="134">
        <v>114885.43230784453</v>
      </c>
      <c r="H47" s="134">
        <v>29791.158792382746</v>
      </c>
      <c r="I47" s="134">
        <v>44626</v>
      </c>
      <c r="J47" s="134">
        <v>-448793</v>
      </c>
      <c r="K47" s="134">
        <v>-49185</v>
      </c>
      <c r="L47" s="134">
        <v>-69780</v>
      </c>
      <c r="M47" s="134">
        <v>-523131</v>
      </c>
      <c r="N47" s="134">
        <v>42747</v>
      </c>
      <c r="O47" s="134">
        <v>-329830</v>
      </c>
      <c r="P47" s="134">
        <v>52093</v>
      </c>
      <c r="Q47" s="134">
        <v>-46122</v>
      </c>
      <c r="R47" s="134">
        <v>-281114</v>
      </c>
      <c r="S47" s="134">
        <v>-41333</v>
      </c>
      <c r="T47" s="134">
        <v>-58910</v>
      </c>
      <c r="U47" s="134">
        <v>-107829</v>
      </c>
      <c r="V47" s="134">
        <v>98282</v>
      </c>
      <c r="W47" s="134">
        <v>-109790</v>
      </c>
      <c r="X47" s="134">
        <v>-39947</v>
      </c>
      <c r="Y47" s="134">
        <v>-49727</v>
      </c>
      <c r="Z47" s="134">
        <v>-113344</v>
      </c>
      <c r="AA47" s="134">
        <v>-16256</v>
      </c>
      <c r="AB47" s="134">
        <v>-219274</v>
      </c>
      <c r="AC47" s="134">
        <v>102208</v>
      </c>
      <c r="AD47" s="134">
        <v>-92075</v>
      </c>
      <c r="AE47" s="134">
        <v>4742</v>
      </c>
      <c r="AF47" s="134">
        <v>54345</v>
      </c>
      <c r="AG47" s="134">
        <f>SUM(AC47:AF47)</f>
        <v>69220</v>
      </c>
      <c r="AH47" s="134">
        <v>65557</v>
      </c>
      <c r="AI47" s="134">
        <v>-138038</v>
      </c>
      <c r="AJ47" s="134">
        <v>160621</v>
      </c>
      <c r="AK47" s="134">
        <v>67164</v>
      </c>
      <c r="AL47" s="134">
        <f>SUM(AH47:AK47)</f>
        <v>155304</v>
      </c>
      <c r="AM47" s="134">
        <v>93889</v>
      </c>
      <c r="AN47" s="134">
        <v>-113554</v>
      </c>
      <c r="AO47" s="134">
        <v>52942</v>
      </c>
      <c r="AP47" s="134">
        <v>148658</v>
      </c>
      <c r="AQ47" s="134">
        <f>SUM(AM47:AP47)</f>
        <v>181935</v>
      </c>
      <c r="AS47" s="134">
        <v>92169</v>
      </c>
      <c r="AT47" s="134">
        <v>-207753</v>
      </c>
      <c r="AU47" s="134">
        <v>35213</v>
      </c>
      <c r="AV47" s="134">
        <v>390180.27225840033</v>
      </c>
      <c r="AW47" s="134">
        <f>SUM(AS47:AV47)</f>
        <v>309809.27225840033</v>
      </c>
      <c r="AX47" s="134">
        <v>-60074</v>
      </c>
      <c r="AY47" s="134">
        <v>-62817</v>
      </c>
      <c r="AZ47" s="134">
        <v>86265</v>
      </c>
      <c r="BA47" s="134">
        <v>227057</v>
      </c>
      <c r="BB47" s="134">
        <f>SUM(AX47:BA47)</f>
        <v>190431</v>
      </c>
      <c r="BC47" s="134">
        <v>-2120243</v>
      </c>
      <c r="BD47" s="135">
        <v>-890044</v>
      </c>
      <c r="BE47" s="135">
        <v>-573123</v>
      </c>
      <c r="BF47" s="135">
        <v>-962476</v>
      </c>
      <c r="BG47" s="135">
        <f>SUM(BC47:BF47)</f>
        <v>-4545886</v>
      </c>
      <c r="BH47" s="134">
        <v>-430864.73179272324</v>
      </c>
      <c r="BI47" s="134">
        <v>-769637</v>
      </c>
      <c r="BJ47" s="134">
        <v>-691873</v>
      </c>
      <c r="BK47" s="134">
        <v>-2755113</v>
      </c>
      <c r="BL47" s="135">
        <f>SUM(BH47:BK47)</f>
        <v>-4647487.7317927238</v>
      </c>
      <c r="BM47" s="134">
        <v>-380073</v>
      </c>
      <c r="BN47" s="134">
        <f>BN45+BN48</f>
        <v>-523197.57213434624</v>
      </c>
      <c r="BO47" s="134">
        <f>BO45+BO48</f>
        <v>-295966.9837092068</v>
      </c>
    </row>
    <row r="48" spans="2:67" x14ac:dyDescent="0.2">
      <c r="B48" s="133" t="s">
        <v>530</v>
      </c>
      <c r="C48" s="105" t="s">
        <v>687</v>
      </c>
      <c r="D48" s="134">
        <v>11679</v>
      </c>
      <c r="E48" s="134">
        <v>11412.941207615397</v>
      </c>
      <c r="F48" s="134">
        <v>22196</v>
      </c>
      <c r="G48" s="134">
        <v>14513</v>
      </c>
      <c r="H48" s="134">
        <v>59800.941207615397</v>
      </c>
      <c r="I48" s="134">
        <v>6901</v>
      </c>
      <c r="J48" s="134">
        <v>2464</v>
      </c>
      <c r="K48" s="134">
        <v>7505</v>
      </c>
      <c r="L48" s="134">
        <v>11394</v>
      </c>
      <c r="M48" s="134">
        <v>28263</v>
      </c>
      <c r="N48" s="134">
        <v>-4263</v>
      </c>
      <c r="O48" s="134">
        <v>6985</v>
      </c>
      <c r="P48" s="134">
        <v>3117</v>
      </c>
      <c r="Q48" s="134">
        <v>11456</v>
      </c>
      <c r="R48" s="134">
        <v>17295</v>
      </c>
      <c r="S48" s="134">
        <v>2350</v>
      </c>
      <c r="T48" s="134">
        <v>3982</v>
      </c>
      <c r="U48" s="134">
        <v>14996</v>
      </c>
      <c r="V48" s="134">
        <v>11501</v>
      </c>
      <c r="W48" s="134">
        <v>32829</v>
      </c>
      <c r="X48" s="134">
        <v>15672</v>
      </c>
      <c r="Y48" s="134">
        <v>3707</v>
      </c>
      <c r="Z48" s="134">
        <v>9855</v>
      </c>
      <c r="AA48" s="134">
        <v>11308</v>
      </c>
      <c r="AB48" s="134">
        <v>40542</v>
      </c>
      <c r="AC48" s="134">
        <v>13824</v>
      </c>
      <c r="AD48" s="134">
        <v>6811</v>
      </c>
      <c r="AE48" s="134">
        <v>11582</v>
      </c>
      <c r="AF48" s="134">
        <v>9233</v>
      </c>
      <c r="AG48" s="134">
        <f>SUM(AC48:AF48)</f>
        <v>41450</v>
      </c>
      <c r="AH48" s="134">
        <v>9243</v>
      </c>
      <c r="AI48" s="134">
        <v>14048</v>
      </c>
      <c r="AJ48" s="134">
        <v>17638</v>
      </c>
      <c r="AK48" s="134">
        <v>4481</v>
      </c>
      <c r="AL48" s="134">
        <f>SUM(AH48:AK48)</f>
        <v>45410</v>
      </c>
      <c r="AM48" s="134">
        <v>13683</v>
      </c>
      <c r="AN48" s="134">
        <v>1877</v>
      </c>
      <c r="AO48" s="134">
        <v>2428</v>
      </c>
      <c r="AP48" s="134">
        <v>13324</v>
      </c>
      <c r="AQ48" s="134">
        <f>SUM(AM48:AP48)</f>
        <v>31312</v>
      </c>
      <c r="AS48" s="134">
        <v>13683</v>
      </c>
      <c r="AT48" s="134">
        <v>1877</v>
      </c>
      <c r="AU48" s="134">
        <v>2541</v>
      </c>
      <c r="AV48" s="134">
        <v>13874</v>
      </c>
      <c r="AW48" s="134">
        <f>SUM(AS48:AV48)</f>
        <v>31975</v>
      </c>
      <c r="AX48" s="134">
        <v>3477</v>
      </c>
      <c r="AY48" s="134">
        <v>-612</v>
      </c>
      <c r="AZ48" s="134">
        <v>757</v>
      </c>
      <c r="BA48" s="134">
        <f>+BA45-BA47</f>
        <v>1560</v>
      </c>
      <c r="BB48" s="134">
        <f>SUM(AX48:BA48)</f>
        <v>5182</v>
      </c>
      <c r="BC48" s="134">
        <v>-3258</v>
      </c>
      <c r="BD48" s="135">
        <v>-3803</v>
      </c>
      <c r="BE48" s="135">
        <v>-762</v>
      </c>
      <c r="BF48" s="135">
        <v>-1826</v>
      </c>
      <c r="BG48" s="135">
        <f>SUM(BC48:BF48)</f>
        <v>-9649</v>
      </c>
      <c r="BH48" s="134">
        <v>2804.2832076034661</v>
      </c>
      <c r="BI48" s="134">
        <v>-2640</v>
      </c>
      <c r="BJ48" s="134">
        <v>-2277</v>
      </c>
      <c r="BK48" s="134">
        <v>2069</v>
      </c>
      <c r="BL48" s="135">
        <f>SUM(BH48:BK48)</f>
        <v>-43.716792396533947</v>
      </c>
      <c r="BM48" s="159">
        <v>-1192</v>
      </c>
      <c r="BN48" s="159">
        <v>1077.3896796593381</v>
      </c>
      <c r="BO48" s="159">
        <v>519</v>
      </c>
    </row>
    <row r="49" spans="1:68" x14ac:dyDescent="0.2">
      <c r="B49" s="106" t="s">
        <v>669</v>
      </c>
      <c r="C49" s="105"/>
      <c r="D49" s="134"/>
      <c r="E49" s="134"/>
      <c r="F49" s="134"/>
      <c r="G49" s="134"/>
      <c r="H49" s="134"/>
      <c r="I49" s="134"/>
      <c r="J49" s="134"/>
      <c r="K49" s="134"/>
      <c r="L49" s="134"/>
      <c r="M49" s="134"/>
      <c r="N49" s="134"/>
      <c r="O49" s="134"/>
      <c r="Q49" s="134"/>
      <c r="R49" s="134"/>
      <c r="S49" s="134"/>
      <c r="T49" s="134"/>
      <c r="U49" s="134"/>
      <c r="V49" s="134"/>
      <c r="W49" s="134"/>
      <c r="X49" s="134"/>
      <c r="Y49" s="134"/>
      <c r="Z49" s="134"/>
      <c r="AA49" s="134"/>
      <c r="AB49" s="134"/>
      <c r="AC49" s="134"/>
      <c r="AD49" s="134"/>
      <c r="AE49" s="134"/>
      <c r="AF49" s="134"/>
      <c r="AG49" s="134"/>
      <c r="AH49" s="134"/>
      <c r="AI49" s="134"/>
      <c r="AJ49" s="134"/>
      <c r="AK49" s="134"/>
      <c r="AL49" s="134"/>
      <c r="AM49" s="134"/>
      <c r="AN49" s="134"/>
      <c r="AO49" s="134"/>
      <c r="AP49" s="134"/>
      <c r="AQ49" s="134"/>
      <c r="AS49" s="134"/>
      <c r="AT49" s="134"/>
      <c r="AU49" s="134"/>
      <c r="AV49" s="134"/>
      <c r="AW49" s="134"/>
      <c r="AX49" s="134"/>
      <c r="AY49" s="134"/>
      <c r="AZ49" s="134"/>
      <c r="BA49" s="134"/>
      <c r="BB49" s="134"/>
      <c r="BC49" s="134"/>
      <c r="BD49" s="135"/>
      <c r="BE49" s="135"/>
      <c r="BF49" s="135"/>
      <c r="BG49" s="135"/>
      <c r="BH49" s="134"/>
      <c r="BI49" s="134"/>
      <c r="BJ49" s="134"/>
      <c r="BK49" s="134"/>
      <c r="BL49" s="135"/>
      <c r="BM49" s="134"/>
      <c r="BN49" s="134"/>
      <c r="BO49" s="134"/>
    </row>
    <row r="50" spans="1:68" x14ac:dyDescent="0.2">
      <c r="B50" s="106" t="s">
        <v>669</v>
      </c>
      <c r="C50" s="105"/>
      <c r="D50" s="134"/>
      <c r="E50" s="134"/>
      <c r="F50" s="134"/>
      <c r="G50" s="134"/>
      <c r="H50" s="134"/>
      <c r="I50" s="134"/>
      <c r="J50" s="134"/>
      <c r="K50" s="134"/>
      <c r="L50" s="134"/>
      <c r="M50" s="134"/>
      <c r="N50" s="134"/>
      <c r="O50" s="134"/>
      <c r="P50" s="134"/>
      <c r="Q50" s="134"/>
      <c r="R50" s="134"/>
      <c r="S50" s="134"/>
      <c r="T50" s="134"/>
      <c r="U50" s="134"/>
      <c r="V50" s="134"/>
      <c r="W50" s="134"/>
      <c r="X50" s="134"/>
      <c r="Y50" s="134"/>
      <c r="Z50" s="134"/>
      <c r="AA50" s="134"/>
      <c r="AB50" s="134"/>
      <c r="AC50" s="134"/>
      <c r="AD50" s="134"/>
      <c r="AE50" s="134"/>
      <c r="AF50" s="134"/>
      <c r="AG50" s="134"/>
      <c r="AH50" s="134"/>
      <c r="AI50" s="134"/>
      <c r="AJ50" s="134"/>
      <c r="AK50" s="134"/>
      <c r="AL50" s="134"/>
      <c r="AM50" s="134"/>
      <c r="AN50" s="134"/>
      <c r="AO50" s="134"/>
      <c r="AP50" s="134"/>
      <c r="AQ50" s="134"/>
      <c r="AS50" s="134"/>
      <c r="AT50" s="134"/>
      <c r="AU50" s="134"/>
      <c r="AV50" s="134"/>
      <c r="AW50" s="134"/>
      <c r="AX50" s="134"/>
      <c r="AY50" s="134"/>
      <c r="AZ50" s="134"/>
      <c r="BA50" s="134"/>
      <c r="BB50" s="134"/>
      <c r="BC50" s="134"/>
      <c r="BD50" s="135"/>
      <c r="BE50" s="135"/>
      <c r="BF50" s="135"/>
      <c r="BG50" s="135"/>
      <c r="BH50" s="134"/>
      <c r="BI50" s="134"/>
      <c r="BJ50" s="134"/>
      <c r="BK50" s="134"/>
      <c r="BL50" s="135"/>
      <c r="BM50" s="134"/>
      <c r="BN50" s="134"/>
      <c r="BO50" s="134"/>
    </row>
    <row r="51" spans="1:68" x14ac:dyDescent="0.2">
      <c r="B51" s="148" t="s">
        <v>531</v>
      </c>
      <c r="C51" s="149" t="s">
        <v>687</v>
      </c>
      <c r="D51" s="150">
        <v>144918.83379128191</v>
      </c>
      <c r="E51" s="150">
        <v>47328.452879497869</v>
      </c>
      <c r="F51" s="150">
        <v>-277341.56018623966</v>
      </c>
      <c r="G51" s="150">
        <v>114885.43230784453</v>
      </c>
      <c r="H51" s="150">
        <v>29791.158792382746</v>
      </c>
      <c r="I51" s="150">
        <v>44627.12</v>
      </c>
      <c r="J51" s="150">
        <v>-448792.76</v>
      </c>
      <c r="K51" s="150">
        <v>-49185</v>
      </c>
      <c r="L51" s="150">
        <v>-67980</v>
      </c>
      <c r="M51" s="150">
        <v>-523131</v>
      </c>
      <c r="N51" s="150">
        <v>42747</v>
      </c>
      <c r="O51" s="150">
        <v>-329830</v>
      </c>
      <c r="P51" s="150">
        <v>52093</v>
      </c>
      <c r="Q51" s="150">
        <v>-46122</v>
      </c>
      <c r="R51" s="150">
        <v>-281114</v>
      </c>
      <c r="S51" s="150">
        <v>-41333</v>
      </c>
      <c r="T51" s="150">
        <v>-58910</v>
      </c>
      <c r="U51" s="150">
        <v>-107829</v>
      </c>
      <c r="V51" s="150">
        <v>98282</v>
      </c>
      <c r="W51" s="150">
        <v>-109790</v>
      </c>
      <c r="X51" s="150">
        <v>-39947</v>
      </c>
      <c r="Y51" s="150">
        <v>-49727</v>
      </c>
      <c r="Z51" s="150">
        <v>-113344</v>
      </c>
      <c r="AA51" s="150">
        <v>-16256</v>
      </c>
      <c r="AB51" s="150">
        <v>-219274</v>
      </c>
      <c r="AC51" s="150">
        <v>102208</v>
      </c>
      <c r="AD51" s="150">
        <v>-92075</v>
      </c>
      <c r="AE51" s="150">
        <v>4742</v>
      </c>
      <c r="AF51" s="150">
        <f>AF47</f>
        <v>54345</v>
      </c>
      <c r="AG51" s="150">
        <f>SUM(AC51:AF51)</f>
        <v>69220</v>
      </c>
      <c r="AH51" s="150">
        <f>AH47</f>
        <v>65557</v>
      </c>
      <c r="AI51" s="150">
        <f>AI47</f>
        <v>-138038</v>
      </c>
      <c r="AJ51" s="150">
        <f>AJ47</f>
        <v>160621</v>
      </c>
      <c r="AK51" s="150">
        <f>AK47</f>
        <v>67164</v>
      </c>
      <c r="AL51" s="150">
        <f>SUM(AH51:AK51)</f>
        <v>155304</v>
      </c>
      <c r="AM51" s="150">
        <f>AM47</f>
        <v>93889</v>
      </c>
      <c r="AN51" s="150">
        <f>AN47</f>
        <v>-113554</v>
      </c>
      <c r="AO51" s="150">
        <f>AO47</f>
        <v>52942</v>
      </c>
      <c r="AP51" s="150">
        <f>AP47</f>
        <v>148658</v>
      </c>
      <c r="AQ51" s="150">
        <f>SUM(AM51:AP51)</f>
        <v>181935</v>
      </c>
      <c r="AS51" s="150">
        <f>AS47</f>
        <v>92169</v>
      </c>
      <c r="AT51" s="150">
        <f>AT47</f>
        <v>-207753</v>
      </c>
      <c r="AU51" s="150">
        <f>AU47</f>
        <v>35213</v>
      </c>
      <c r="AV51" s="150">
        <f>AV47</f>
        <v>390180.27225840033</v>
      </c>
      <c r="AW51" s="150">
        <f>SUM(AS51:AV51)</f>
        <v>309809.27225840033</v>
      </c>
      <c r="AX51" s="150">
        <f>AX47</f>
        <v>-60074</v>
      </c>
      <c r="AY51" s="150">
        <f>AY47</f>
        <v>-62817</v>
      </c>
      <c r="AZ51" s="150">
        <f>AZ47</f>
        <v>86265</v>
      </c>
      <c r="BA51" s="150">
        <f>BA47</f>
        <v>227057</v>
      </c>
      <c r="BB51" s="150">
        <f>SUM(AX51:BA51)</f>
        <v>190431</v>
      </c>
      <c r="BC51" s="150">
        <f>BC47</f>
        <v>-2120243</v>
      </c>
      <c r="BD51" s="151">
        <f>BD47</f>
        <v>-890044</v>
      </c>
      <c r="BE51" s="151">
        <f>BE47</f>
        <v>-573123</v>
      </c>
      <c r="BF51" s="151">
        <f>BF47</f>
        <v>-962476</v>
      </c>
      <c r="BG51" s="151">
        <f>SUM(BC51:BF51)</f>
        <v>-4545886</v>
      </c>
      <c r="BH51" s="150">
        <f t="shared" ref="BH51:BK51" si="50">BH47</f>
        <v>-430864.73179272324</v>
      </c>
      <c r="BI51" s="150">
        <f t="shared" si="50"/>
        <v>-769637</v>
      </c>
      <c r="BJ51" s="150">
        <f t="shared" si="50"/>
        <v>-691873</v>
      </c>
      <c r="BK51" s="150">
        <f t="shared" si="50"/>
        <v>-2755113</v>
      </c>
      <c r="BL51" s="151">
        <f>SUM(BH51:BK51)</f>
        <v>-4647487.7317927238</v>
      </c>
      <c r="BM51" s="150">
        <f t="shared" ref="BM51:BO51" si="51">BM47</f>
        <v>-380073</v>
      </c>
      <c r="BN51" s="150">
        <f t="shared" si="51"/>
        <v>-523197.57213434624</v>
      </c>
      <c r="BO51" s="150">
        <f t="shared" si="51"/>
        <v>-295966.9837092068</v>
      </c>
    </row>
    <row r="52" spans="1:68" x14ac:dyDescent="0.2">
      <c r="B52" s="152" t="s">
        <v>532</v>
      </c>
      <c r="C52" s="153" t="s">
        <v>688</v>
      </c>
      <c r="D52" s="160">
        <v>4.6002754813009937E-2</v>
      </c>
      <c r="E52" s="160">
        <v>1.4795356988743033E-2</v>
      </c>
      <c r="F52" s="160">
        <v>-7.9768329783049902E-2</v>
      </c>
      <c r="G52" s="160">
        <v>3.2962200123328067E-2</v>
      </c>
      <c r="H52" s="160">
        <v>2.2380352953389974E-3</v>
      </c>
      <c r="I52" s="160">
        <v>1.3427456964976237E-2</v>
      </c>
      <c r="J52" s="160">
        <v>-0.14528593594560885</v>
      </c>
      <c r="K52" s="160">
        <v>-1.4730533219246699E-2</v>
      </c>
      <c r="L52" s="160">
        <v>-1.9587927405377605E-2</v>
      </c>
      <c r="M52" s="160">
        <v>-3.9428753072603559E-2</v>
      </c>
      <c r="N52" s="160">
        <v>1.2539568414966519E-2</v>
      </c>
      <c r="O52" s="160">
        <v>-0.10643416348517269</v>
      </c>
      <c r="P52" s="160">
        <v>1.5500741219480117E-2</v>
      </c>
      <c r="Q52" s="160">
        <v>-1.3575092140032835E-2</v>
      </c>
      <c r="R52" s="160">
        <v>-2.1190399410467371E-2</v>
      </c>
      <c r="S52" s="160">
        <v>-1.3008291278971875E-2</v>
      </c>
      <c r="T52" s="160">
        <v>-1.9329152732789803E-2</v>
      </c>
      <c r="U52" s="160">
        <v>-3.4326234361570049E-2</v>
      </c>
      <c r="V52" s="160">
        <v>3.1656049909121159E-2</v>
      </c>
      <c r="W52" s="160">
        <v>-8.8035213443896816E-3</v>
      </c>
      <c r="X52" s="160">
        <v>-1.4312062947711009E-2</v>
      </c>
      <c r="Y52" s="160">
        <v>-2.0609203872260815E-2</v>
      </c>
      <c r="Z52" s="160">
        <v>-4.5070386691384121E-2</v>
      </c>
      <c r="AA52" s="160">
        <v>-6.7536127840040414E-3</v>
      </c>
      <c r="AB52" s="160">
        <v>-2.1654924743917187E-2</v>
      </c>
      <c r="AC52" s="160">
        <v>4.3911012317673352E-2</v>
      </c>
      <c r="AD52" s="160">
        <v>-4.3624353452258159E-2</v>
      </c>
      <c r="AE52" s="160">
        <v>1.8821000458022659E-3</v>
      </c>
      <c r="AF52" s="160">
        <f t="shared" ref="AF52:AQ52" si="52">AF51/AF12</f>
        <v>2.1151576764519061E-2</v>
      </c>
      <c r="AG52" s="160">
        <f t="shared" si="52"/>
        <v>7.265599216014944E-3</v>
      </c>
      <c r="AH52" s="160">
        <f t="shared" si="52"/>
        <v>2.6461493253746093E-2</v>
      </c>
      <c r="AI52" s="160">
        <f t="shared" si="52"/>
        <v>-6.0709827974600374E-2</v>
      </c>
      <c r="AJ52" s="160">
        <f t="shared" si="52"/>
        <v>6.0725495400059129E-2</v>
      </c>
      <c r="AK52" s="160">
        <f t="shared" si="52"/>
        <v>2.4268141939218356E-2</v>
      </c>
      <c r="AL52" s="160">
        <f t="shared" si="52"/>
        <v>1.5280117782765416E-2</v>
      </c>
      <c r="AM52" s="160">
        <f t="shared" si="52"/>
        <v>3.438482407849594E-2</v>
      </c>
      <c r="AN52" s="160">
        <f t="shared" si="52"/>
        <v>-4.8170109368385061E-2</v>
      </c>
      <c r="AO52" s="160">
        <f t="shared" si="52"/>
        <v>2.124494528650098E-2</v>
      </c>
      <c r="AP52" s="160">
        <f t="shared" si="52"/>
        <v>5.3314100883571351E-2</v>
      </c>
      <c r="AQ52" s="160">
        <f t="shared" si="52"/>
        <v>1.7547380870032197E-2</v>
      </c>
      <c r="AS52" s="160">
        <f t="shared" ref="AS52:BC52" si="53">AS51/AS12</f>
        <v>3.3754911123676817E-2</v>
      </c>
      <c r="AT52" s="160">
        <f t="shared" si="53"/>
        <v>-8.8129742075225018E-2</v>
      </c>
      <c r="AU52" s="160">
        <f t="shared" si="53"/>
        <v>1.4130525072221659E-2</v>
      </c>
      <c r="AV52" s="160">
        <f t="shared" si="53"/>
        <v>0.13993266691307357</v>
      </c>
      <c r="AW52" s="160">
        <f t="shared" si="53"/>
        <v>2.9880678799492404E-2</v>
      </c>
      <c r="AX52" s="160">
        <f t="shared" si="53"/>
        <v>-2.3789158220038426E-2</v>
      </c>
      <c r="AY52" s="160">
        <f t="shared" si="53"/>
        <v>-2.6505544193417854E-2</v>
      </c>
      <c r="AZ52" s="160">
        <f t="shared" si="53"/>
        <v>3.2368391429965102E-2</v>
      </c>
      <c r="BA52" s="160">
        <f t="shared" si="53"/>
        <v>7.909734613157797E-2</v>
      </c>
      <c r="BB52" s="160">
        <f t="shared" si="53"/>
        <v>1.8256383157508438E-2</v>
      </c>
      <c r="BC52" s="160">
        <f t="shared" si="53"/>
        <v>-0.90133931323265282</v>
      </c>
      <c r="BD52" s="161">
        <f>BD51/BD12</f>
        <v>-1.5563365997300151</v>
      </c>
      <c r="BE52" s="161">
        <f>BE51/BE12</f>
        <v>-1.1173469387755102</v>
      </c>
      <c r="BF52" s="161">
        <f>BF51/BF12</f>
        <v>-1.0723632020393792</v>
      </c>
      <c r="BG52" s="161">
        <f>BG51/BG12</f>
        <v>-1.0487273653420826</v>
      </c>
      <c r="BH52" s="160">
        <f t="shared" ref="BH52:BK52" si="54">BH51/BH12</f>
        <v>-0.47183709491397746</v>
      </c>
      <c r="BI52" s="160">
        <f t="shared" si="54"/>
        <v>-0.86602137915965482</v>
      </c>
      <c r="BJ52" s="160">
        <f t="shared" si="54"/>
        <v>-0.52669148864093984</v>
      </c>
      <c r="BK52" s="160">
        <f t="shared" si="54"/>
        <v>-1.3804161997536124</v>
      </c>
      <c r="BL52" s="161">
        <f>BL51/BL12</f>
        <v>-0.90924923491303644</v>
      </c>
      <c r="BM52" s="160">
        <f t="shared" ref="BM52:BO52" si="55">BM51/BM12</f>
        <v>-0.19401073839139957</v>
      </c>
      <c r="BN52" s="160">
        <f t="shared" si="55"/>
        <v>-0.23503019886837792</v>
      </c>
      <c r="BO52" s="160">
        <f t="shared" si="55"/>
        <v>-0.11438695543541752</v>
      </c>
    </row>
    <row r="55" spans="1:68" x14ac:dyDescent="0.2">
      <c r="B55" s="162" t="s">
        <v>694</v>
      </c>
    </row>
    <row r="56" spans="1:68" x14ac:dyDescent="0.2">
      <c r="B56" s="104" t="s">
        <v>695</v>
      </c>
    </row>
    <row r="57" spans="1:68" x14ac:dyDescent="0.2">
      <c r="B57" s="104" t="s">
        <v>696</v>
      </c>
    </row>
    <row r="60" spans="1:68" x14ac:dyDescent="0.2">
      <c r="A60" s="103" t="s">
        <v>697</v>
      </c>
      <c r="C60" s="105"/>
      <c r="D60" s="106"/>
      <c r="E60" s="106"/>
      <c r="F60" s="106"/>
      <c r="G60" s="106"/>
      <c r="H60" s="106"/>
      <c r="I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06"/>
      <c r="AO60" s="106"/>
      <c r="AP60" s="106"/>
      <c r="AQ60" s="106"/>
      <c r="AS60" s="106"/>
      <c r="AT60" s="106"/>
      <c r="AU60" s="106"/>
      <c r="AV60" s="106"/>
      <c r="AW60" s="106"/>
      <c r="AX60" s="106"/>
      <c r="AY60" s="106"/>
      <c r="AZ60" s="106"/>
      <c r="BA60" s="106"/>
      <c r="BB60" s="106"/>
      <c r="BC60" s="106"/>
      <c r="BD60" s="107"/>
      <c r="BE60" s="107"/>
      <c r="BF60" s="107"/>
      <c r="BG60" s="107"/>
      <c r="BH60" s="106"/>
      <c r="BI60" s="106"/>
      <c r="BJ60" s="106"/>
      <c r="BK60" s="106"/>
      <c r="BL60" s="107"/>
      <c r="BM60" s="106"/>
      <c r="BN60" s="106"/>
      <c r="BO60" s="106"/>
    </row>
    <row r="61" spans="1:68" ht="14.5" customHeight="1" x14ac:dyDescent="0.2">
      <c r="A61" s="1230" t="s">
        <v>343</v>
      </c>
      <c r="B61" s="1231"/>
      <c r="C61" s="108" t="s">
        <v>675</v>
      </c>
      <c r="D61" s="109" t="s">
        <v>676</v>
      </c>
      <c r="E61" s="109" t="s">
        <v>677</v>
      </c>
      <c r="F61" s="109" t="s">
        <v>678</v>
      </c>
      <c r="G61" s="109" t="s">
        <v>679</v>
      </c>
      <c r="H61" s="110" t="s">
        <v>680</v>
      </c>
      <c r="I61" s="109" t="s">
        <v>681</v>
      </c>
      <c r="J61" s="109" t="s">
        <v>682</v>
      </c>
      <c r="K61" s="109" t="s">
        <v>683</v>
      </c>
      <c r="L61" s="109" t="s">
        <v>684</v>
      </c>
      <c r="M61" s="109" t="s">
        <v>671</v>
      </c>
      <c r="N61" s="109" t="s">
        <v>619</v>
      </c>
      <c r="O61" s="109" t="s">
        <v>620</v>
      </c>
      <c r="P61" s="109" t="s">
        <v>621</v>
      </c>
      <c r="Q61" s="109" t="s">
        <v>622</v>
      </c>
      <c r="R61" s="111">
        <v>2013</v>
      </c>
      <c r="S61" s="109" t="s">
        <v>623</v>
      </c>
      <c r="T61" s="109" t="s">
        <v>624</v>
      </c>
      <c r="U61" s="109" t="s">
        <v>625</v>
      </c>
      <c r="V61" s="109" t="s">
        <v>626</v>
      </c>
      <c r="W61" s="111">
        <v>2014</v>
      </c>
      <c r="X61" s="109" t="s">
        <v>627</v>
      </c>
      <c r="Y61" s="109" t="s">
        <v>628</v>
      </c>
      <c r="Z61" s="109" t="s">
        <v>629</v>
      </c>
      <c r="AA61" s="109" t="s">
        <v>630</v>
      </c>
      <c r="AB61" s="111">
        <v>2015</v>
      </c>
      <c r="AC61" s="109" t="s">
        <v>631</v>
      </c>
      <c r="AD61" s="109" t="s">
        <v>632</v>
      </c>
      <c r="AE61" s="109" t="s">
        <v>633</v>
      </c>
      <c r="AF61" s="109" t="s">
        <v>634</v>
      </c>
      <c r="AG61" s="111">
        <v>2016</v>
      </c>
      <c r="AH61" s="109" t="s">
        <v>635</v>
      </c>
      <c r="AI61" s="109" t="s">
        <v>636</v>
      </c>
      <c r="AJ61" s="109" t="s">
        <v>637</v>
      </c>
      <c r="AK61" s="109" t="str">
        <f>$AK$7</f>
        <v>4Q17</v>
      </c>
      <c r="AL61" s="111">
        <f>$AL$7</f>
        <v>2017</v>
      </c>
      <c r="AM61" s="109" t="s">
        <v>639</v>
      </c>
      <c r="AN61" s="109" t="str">
        <f>AN7</f>
        <v>2Q18</v>
      </c>
      <c r="AO61" s="109" t="s">
        <v>641</v>
      </c>
      <c r="AP61" s="109" t="s">
        <v>642</v>
      </c>
      <c r="AQ61" s="111">
        <v>2018</v>
      </c>
      <c r="AS61" s="109" t="s">
        <v>639</v>
      </c>
      <c r="AT61" s="109" t="str">
        <f>AT7</f>
        <v>2Q18</v>
      </c>
      <c r="AU61" s="109" t="s">
        <v>641</v>
      </c>
      <c r="AV61" s="109" t="s">
        <v>642</v>
      </c>
      <c r="AW61" s="111">
        <v>2018</v>
      </c>
      <c r="AX61" s="109" t="s">
        <v>643</v>
      </c>
      <c r="AY61" s="109" t="str">
        <f>AY7</f>
        <v>2Q19</v>
      </c>
      <c r="AZ61" s="109" t="str">
        <f>AZ7</f>
        <v>3Q19</v>
      </c>
      <c r="BA61" s="109" t="str">
        <f>BA7</f>
        <v>4Q19</v>
      </c>
      <c r="BB61" s="111">
        <f>+BB$7</f>
        <v>2019</v>
      </c>
      <c r="BC61" s="109" t="str">
        <f>BC7</f>
        <v>1Q20</v>
      </c>
      <c r="BD61" s="112" t="str">
        <f>BD7</f>
        <v>2Q20</v>
      </c>
      <c r="BE61" s="112" t="str">
        <f>BE7</f>
        <v>3Q20</v>
      </c>
      <c r="BF61" s="112" t="str">
        <f>BF7</f>
        <v>4Q20</v>
      </c>
      <c r="BG61" s="113">
        <f>+BG$7</f>
        <v>2020</v>
      </c>
      <c r="BH61" s="109" t="str">
        <f>BH7</f>
        <v>1Q21</v>
      </c>
      <c r="BI61" s="109" t="str">
        <f>BI7</f>
        <v>2Q21</v>
      </c>
      <c r="BJ61" s="109" t="str">
        <f>BJ7</f>
        <v>3Q21</v>
      </c>
      <c r="BK61" s="109" t="str">
        <f>BK7</f>
        <v>4Q21</v>
      </c>
      <c r="BL61" s="113">
        <f>+BL$7</f>
        <v>2021</v>
      </c>
      <c r="BM61" s="109" t="s">
        <v>655</v>
      </c>
      <c r="BN61" s="109" t="str">
        <f>BN7</f>
        <v>2Q22</v>
      </c>
      <c r="BO61" s="109" t="str">
        <f>BO7</f>
        <v>3Q22</v>
      </c>
    </row>
    <row r="62" spans="1:68" s="120" customFormat="1" x14ac:dyDescent="0.2">
      <c r="A62" s="114" t="s">
        <v>698</v>
      </c>
      <c r="B62" s="115"/>
      <c r="C62" s="116"/>
      <c r="D62" s="117" t="s">
        <v>676</v>
      </c>
      <c r="E62" s="117" t="s">
        <v>677</v>
      </c>
      <c r="F62" s="117" t="s">
        <v>678</v>
      </c>
      <c r="G62" s="117" t="s">
        <v>679</v>
      </c>
      <c r="H62" s="118" t="s">
        <v>680</v>
      </c>
      <c r="I62" s="117" t="s">
        <v>681</v>
      </c>
      <c r="J62" s="117" t="s">
        <v>682</v>
      </c>
      <c r="K62" s="117" t="s">
        <v>683</v>
      </c>
      <c r="L62" s="117" t="s">
        <v>684</v>
      </c>
      <c r="M62" s="117" t="s">
        <v>671</v>
      </c>
      <c r="N62" s="117" t="s">
        <v>619</v>
      </c>
      <c r="O62" s="117" t="s">
        <v>620</v>
      </c>
      <c r="P62" s="117"/>
      <c r="Q62" s="117"/>
      <c r="R62" s="119"/>
      <c r="S62" s="117"/>
      <c r="T62" s="117"/>
      <c r="U62" s="117"/>
      <c r="V62" s="117"/>
      <c r="W62" s="119"/>
      <c r="X62" s="117"/>
      <c r="Y62" s="117"/>
      <c r="Z62" s="117"/>
      <c r="AA62" s="117"/>
      <c r="AB62" s="119"/>
      <c r="AC62" s="117"/>
      <c r="AD62" s="117"/>
      <c r="AE62" s="117"/>
      <c r="AF62" s="117"/>
      <c r="AG62" s="119"/>
      <c r="AH62" s="117"/>
      <c r="AI62" s="117"/>
      <c r="AJ62" s="117"/>
      <c r="AK62" s="117"/>
      <c r="AL62" s="119"/>
      <c r="AM62" s="119"/>
      <c r="AN62" s="119"/>
      <c r="AO62" s="119"/>
      <c r="AP62" s="119"/>
      <c r="AQ62" s="119"/>
      <c r="AS62" s="119"/>
      <c r="AT62" s="119"/>
      <c r="AU62" s="119"/>
      <c r="AV62" s="119"/>
      <c r="AW62" s="119"/>
      <c r="AX62" s="119"/>
      <c r="AY62" s="119"/>
      <c r="AZ62" s="119"/>
      <c r="BA62" s="119"/>
      <c r="BB62" s="119"/>
      <c r="BC62" s="119"/>
      <c r="BD62" s="121"/>
      <c r="BE62" s="121"/>
      <c r="BF62" s="121"/>
      <c r="BG62" s="121"/>
      <c r="BH62" s="119"/>
      <c r="BI62" s="119"/>
      <c r="BJ62" s="119"/>
      <c r="BK62" s="119"/>
      <c r="BL62" s="121"/>
      <c r="BM62" s="119"/>
      <c r="BN62" s="119"/>
      <c r="BO62" s="119"/>
    </row>
    <row r="63" spans="1:68" s="120" customFormat="1" x14ac:dyDescent="0.2">
      <c r="B63" s="163" t="s">
        <v>699</v>
      </c>
      <c r="C63" s="164" t="s">
        <v>700</v>
      </c>
      <c r="D63" s="165">
        <v>31201.223120000002</v>
      </c>
      <c r="E63" s="165">
        <v>30699.742577765002</v>
      </c>
      <c r="F63" s="165">
        <v>32265.158939000004</v>
      </c>
      <c r="G63" s="165">
        <v>32399.328730000005</v>
      </c>
      <c r="H63" s="165">
        <v>126565.45336676501</v>
      </c>
      <c r="I63" s="165">
        <v>33285.167304000002</v>
      </c>
      <c r="J63" s="165">
        <v>31620.330134999997</v>
      </c>
      <c r="K63" s="165">
        <v>32914.053548999997</v>
      </c>
      <c r="L63" s="165">
        <v>34366.406552999993</v>
      </c>
      <c r="M63" s="165">
        <v>132185.95754099998</v>
      </c>
      <c r="N63" s="165">
        <v>34403.312793999998</v>
      </c>
      <c r="O63" s="165">
        <v>31426.127011999997</v>
      </c>
      <c r="P63" s="165">
        <v>33034.956359999996</v>
      </c>
      <c r="Q63" s="165">
        <f>R63-P63-O63-N63</f>
        <v>32826.461525000021</v>
      </c>
      <c r="R63" s="165">
        <v>131690.85769100001</v>
      </c>
      <c r="S63" s="165">
        <v>32926.81</v>
      </c>
      <c r="T63" s="165">
        <v>30960.684370000003</v>
      </c>
      <c r="U63" s="165">
        <v>32880.360058999999</v>
      </c>
      <c r="V63" s="165">
        <v>33433.079097000002</v>
      </c>
      <c r="W63" s="165">
        <v>130200.938692</v>
      </c>
      <c r="X63" s="165">
        <v>33632.064252999997</v>
      </c>
      <c r="Y63" s="165">
        <v>31568.541845</v>
      </c>
      <c r="Z63" s="165">
        <v>34522</v>
      </c>
      <c r="AA63" s="165">
        <v>34579.002944</v>
      </c>
      <c r="AB63" s="165">
        <f>+AA63+Z63+Y63+X63</f>
        <v>134301.609042</v>
      </c>
      <c r="AC63" s="165">
        <v>34603.955021999951</v>
      </c>
      <c r="AD63" s="165">
        <v>31680.159511000034</v>
      </c>
      <c r="AE63" s="165">
        <v>34528.445151000007</v>
      </c>
      <c r="AF63" s="165">
        <v>34155.131343999994</v>
      </c>
      <c r="AG63" s="165">
        <v>134967.69102800003</v>
      </c>
      <c r="AH63" s="165">
        <v>34613.266783999999</v>
      </c>
      <c r="AI63" s="165">
        <v>31766.463829000008</v>
      </c>
      <c r="AJ63" s="165">
        <v>35091.873984999998</v>
      </c>
      <c r="AK63" s="165">
        <v>34926.809086000001</v>
      </c>
      <c r="AL63" s="165">
        <f>SUM(AH63:AK63)</f>
        <v>136398.413684</v>
      </c>
      <c r="AM63" s="165">
        <v>35618.583421000003</v>
      </c>
      <c r="AN63" s="165">
        <v>33242.204108999998</v>
      </c>
      <c r="AO63" s="165">
        <v>37196.781495999996</v>
      </c>
      <c r="AP63" s="165">
        <v>37207.153331000009</v>
      </c>
      <c r="AQ63" s="166">
        <v>143264.72235699999</v>
      </c>
      <c r="AR63" s="167"/>
      <c r="AS63" s="165">
        <v>35618.583421000003</v>
      </c>
      <c r="AT63" s="165">
        <v>33242.204108999998</v>
      </c>
      <c r="AU63" s="165">
        <v>37196.781495999996</v>
      </c>
      <c r="AV63" s="165">
        <v>37207.153331000009</v>
      </c>
      <c r="AW63" s="166">
        <v>143264.72235699999</v>
      </c>
      <c r="AX63" s="165">
        <v>37988.78</v>
      </c>
      <c r="AY63" s="165">
        <v>34835.676657999997</v>
      </c>
      <c r="AZ63" s="165">
        <v>37882.497967000003</v>
      </c>
      <c r="BA63" s="165">
        <v>38405.431757999999</v>
      </c>
      <c r="BB63" s="165">
        <f>+SUM(AX63:BA63)</f>
        <v>149112.386383</v>
      </c>
      <c r="BC63" s="165">
        <v>35495.183517000005</v>
      </c>
      <c r="BD63" s="168">
        <f>37685.24-BC63</f>
        <v>2190.056482999993</v>
      </c>
      <c r="BE63" s="168">
        <v>5394.6451870000001</v>
      </c>
      <c r="BF63" s="168">
        <v>12638.317991</v>
      </c>
      <c r="BG63" s="168">
        <f>+SUM(BC63:BF63)</f>
        <v>55718.203177999996</v>
      </c>
      <c r="BH63" s="165">
        <v>13656.681268</v>
      </c>
      <c r="BI63" s="165">
        <v>10754.979843000001</v>
      </c>
      <c r="BJ63" s="165">
        <v>18823.246196000004</v>
      </c>
      <c r="BK63" s="165">
        <v>24400.785569000003</v>
      </c>
      <c r="BL63" s="168">
        <f>+SUM(BH63:BK63)</f>
        <v>67635.692876000001</v>
      </c>
      <c r="BM63" s="165">
        <v>25913.416225000001</v>
      </c>
      <c r="BN63" s="165">
        <v>25293.535132000001</v>
      </c>
      <c r="BO63" s="165">
        <v>30673.524469</v>
      </c>
    </row>
    <row r="64" spans="1:68" s="120" customFormat="1" x14ac:dyDescent="0.2">
      <c r="B64" s="163" t="s">
        <v>701</v>
      </c>
      <c r="C64" s="164" t="s">
        <v>700</v>
      </c>
      <c r="D64" s="165">
        <v>23915.861564999999</v>
      </c>
      <c r="E64" s="165">
        <v>23114.327007532</v>
      </c>
      <c r="F64" s="165">
        <v>24606.935479999996</v>
      </c>
      <c r="G64" s="165">
        <v>24444.042318999996</v>
      </c>
      <c r="H64" s="165">
        <v>96081.166371531988</v>
      </c>
      <c r="I64" s="165">
        <v>25727.464965999992</v>
      </c>
      <c r="J64" s="165">
        <v>24401.303094999999</v>
      </c>
      <c r="K64" s="165">
        <v>26708.129204999997</v>
      </c>
      <c r="L64" s="165">
        <v>27049.207833996988</v>
      </c>
      <c r="M64" s="165">
        <v>103886.10509999697</v>
      </c>
      <c r="N64" s="165">
        <v>27290.914243999992</v>
      </c>
      <c r="O64" s="165">
        <v>24861.454726000004</v>
      </c>
      <c r="P64" s="165">
        <v>27209.420270999999</v>
      </c>
      <c r="Q64" s="165">
        <f>R64-P64-O64-N64</f>
        <v>27104.671559000009</v>
      </c>
      <c r="R64" s="165">
        <v>106466.4608</v>
      </c>
      <c r="S64" s="165">
        <v>27228.91</v>
      </c>
      <c r="T64" s="165">
        <v>25518.594602000001</v>
      </c>
      <c r="U64" s="165">
        <v>27785.253671999999</v>
      </c>
      <c r="V64" s="165">
        <v>28001.285379999998</v>
      </c>
      <c r="W64" s="165">
        <v>108534.04674100001</v>
      </c>
      <c r="X64" s="165">
        <v>28038.001314999998</v>
      </c>
      <c r="Y64" s="165">
        <v>25836.675483999999</v>
      </c>
      <c r="Z64" s="165">
        <v>28973</v>
      </c>
      <c r="AA64" s="165">
        <v>28662.054080999998</v>
      </c>
      <c r="AB64" s="165">
        <f>+AA64+Z64+Y64+X64</f>
        <v>111509.73087999999</v>
      </c>
      <c r="AC64" s="165">
        <v>29159.458495999999</v>
      </c>
      <c r="AD64" s="165">
        <v>26299.963776999997</v>
      </c>
      <c r="AE64" s="165">
        <v>29295.100154999996</v>
      </c>
      <c r="AF64" s="165">
        <v>28872.331581999999</v>
      </c>
      <c r="AG64" s="165">
        <v>113626.85401</v>
      </c>
      <c r="AH64" s="165">
        <v>29325.347211999997</v>
      </c>
      <c r="AI64" s="165">
        <v>26602.031234000005</v>
      </c>
      <c r="AJ64" s="165">
        <v>30055.186291000002</v>
      </c>
      <c r="AK64" s="165">
        <v>29710.133838999998</v>
      </c>
      <c r="AL64" s="165">
        <f>SUM(AH64:AK64)</f>
        <v>115692.69857600001</v>
      </c>
      <c r="AM64" s="165">
        <v>30384.44947</v>
      </c>
      <c r="AN64" s="165">
        <v>27094.873198000001</v>
      </c>
      <c r="AO64" s="165">
        <v>30697.608752</v>
      </c>
      <c r="AP64" s="165">
        <v>30900.486836</v>
      </c>
      <c r="AQ64" s="166">
        <v>119077.418256</v>
      </c>
      <c r="AS64" s="165">
        <v>30384.44947</v>
      </c>
      <c r="AT64" s="165">
        <v>27094.873198000001</v>
      </c>
      <c r="AU64" s="165">
        <v>30697.608752</v>
      </c>
      <c r="AV64" s="165">
        <v>30900.486836</v>
      </c>
      <c r="AW64" s="166">
        <v>119077.418256</v>
      </c>
      <c r="AX64" s="165">
        <v>31978.57</v>
      </c>
      <c r="AY64" s="165">
        <v>29024.745661000001</v>
      </c>
      <c r="AZ64" s="165">
        <v>31682.616963</v>
      </c>
      <c r="BA64" s="165">
        <v>31835.404951</v>
      </c>
      <c r="BB64" s="165">
        <f>+SUM(AX64:BA64)</f>
        <v>124521.33757500001</v>
      </c>
      <c r="BC64" s="165">
        <v>28763.17211</v>
      </c>
      <c r="BD64" s="169">
        <f>29893.89-BC64</f>
        <v>1130.7178899999999</v>
      </c>
      <c r="BE64" s="169">
        <v>3577.0214230000001</v>
      </c>
      <c r="BF64" s="168">
        <v>9153.4683860000005</v>
      </c>
      <c r="BG64" s="168">
        <f>+SUM(BC64:BF64)</f>
        <v>42624.379808999998</v>
      </c>
      <c r="BH64" s="165">
        <v>8945.4810060000018</v>
      </c>
      <c r="BI64" s="165">
        <v>7384.375505</v>
      </c>
      <c r="BJ64" s="165">
        <v>14141.819843000001</v>
      </c>
      <c r="BK64" s="165">
        <v>19844.861090999999</v>
      </c>
      <c r="BL64" s="168">
        <f>+SUM(BH64:BK64)</f>
        <v>50316.537445000002</v>
      </c>
      <c r="BM64" s="165">
        <v>20854.669822</v>
      </c>
      <c r="BN64" s="165">
        <v>20294.731585999998</v>
      </c>
      <c r="BO64" s="165">
        <v>25426.023024999999</v>
      </c>
      <c r="BP64" s="167">
        <f>SUM(AX67:AZ67)</f>
        <v>945.42427374164401</v>
      </c>
    </row>
    <row r="65" spans="2:69" s="120" customFormat="1" x14ac:dyDescent="0.2">
      <c r="B65" s="163" t="s">
        <v>702</v>
      </c>
      <c r="C65" s="164" t="s">
        <v>688</v>
      </c>
      <c r="D65" s="170">
        <v>0.76650397559799244</v>
      </c>
      <c r="E65" s="170">
        <v>0.75291598778007618</v>
      </c>
      <c r="F65" s="170">
        <v>0.76264727307004676</v>
      </c>
      <c r="G65" s="170">
        <v>0.75446138167566879</v>
      </c>
      <c r="H65" s="170">
        <v>0.75914211829277944</v>
      </c>
      <c r="I65" s="170">
        <v>0.77294083370607625</v>
      </c>
      <c r="J65" s="170">
        <v>0.77169665815698174</v>
      </c>
      <c r="K65" s="170">
        <v>0.81145062139608293</v>
      </c>
      <c r="L65" s="170">
        <v>0.78708280984459644</v>
      </c>
      <c r="M65" s="170">
        <v>0.78590878359960992</v>
      </c>
      <c r="N65" s="170">
        <f t="shared" ref="N65:U65" si="56">N64/N63</f>
        <v>0.79326413730597423</v>
      </c>
      <c r="O65" s="170">
        <f t="shared" si="56"/>
        <v>0.79110781664271612</v>
      </c>
      <c r="P65" s="170">
        <f t="shared" si="56"/>
        <v>0.82365540231033019</v>
      </c>
      <c r="Q65" s="170">
        <f t="shared" si="56"/>
        <v>0.8256958045373729</v>
      </c>
      <c r="R65" s="170">
        <f t="shared" si="56"/>
        <v>0.80845749406396428</v>
      </c>
      <c r="S65" s="170">
        <f t="shared" si="56"/>
        <v>0.82695256540187168</v>
      </c>
      <c r="T65" s="170">
        <f t="shared" si="56"/>
        <v>0.82422579220266756</v>
      </c>
      <c r="U65" s="170">
        <f t="shared" si="56"/>
        <v>0.84504104037007433</v>
      </c>
      <c r="V65" s="170">
        <f>V64/V63</f>
        <v>0.83753235227779521</v>
      </c>
      <c r="W65" s="170">
        <f>W64/W63</f>
        <v>0.83358881918467098</v>
      </c>
      <c r="X65" s="170">
        <f t="shared" ref="X65:AQ65" si="57">X64/X63</f>
        <v>0.83366876038538118</v>
      </c>
      <c r="Y65" s="170">
        <f t="shared" si="57"/>
        <v>0.81843107010950378</v>
      </c>
      <c r="Z65" s="170">
        <f t="shared" si="57"/>
        <v>0.83926191993511379</v>
      </c>
      <c r="AA65" s="170">
        <f>AA64/AA63</f>
        <v>0.82888607654239244</v>
      </c>
      <c r="AB65" s="170">
        <f>AB64/AB63</f>
        <v>0.83029333509420333</v>
      </c>
      <c r="AC65" s="170">
        <f t="shared" si="57"/>
        <v>0.84266259384112197</v>
      </c>
      <c r="AD65" s="170">
        <f t="shared" si="57"/>
        <v>0.83017144430311607</v>
      </c>
      <c r="AE65" s="170">
        <f t="shared" si="57"/>
        <v>0.8484338065871917</v>
      </c>
      <c r="AF65" s="170">
        <f t="shared" si="57"/>
        <v>0.84532925056580055</v>
      </c>
      <c r="AG65" s="170">
        <f t="shared" si="57"/>
        <v>0.84188188406088449</v>
      </c>
      <c r="AH65" s="170">
        <f t="shared" si="57"/>
        <v>0.84722853219840133</v>
      </c>
      <c r="AI65" s="170">
        <f t="shared" si="57"/>
        <v>0.8374250082476814</v>
      </c>
      <c r="AJ65" s="170">
        <f t="shared" si="57"/>
        <v>0.85647139573814368</v>
      </c>
      <c r="AK65" s="170">
        <f t="shared" si="57"/>
        <v>0.8506397983808075</v>
      </c>
      <c r="AL65" s="170">
        <f t="shared" si="57"/>
        <v>0.84819680413608178</v>
      </c>
      <c r="AM65" s="170">
        <f t="shared" si="57"/>
        <v>0.85305047398617029</v>
      </c>
      <c r="AN65" s="170">
        <f t="shared" si="57"/>
        <v>0.81507450917384661</v>
      </c>
      <c r="AO65" s="170">
        <v>0.82527593833087698</v>
      </c>
      <c r="AP65" s="170">
        <f t="shared" si="57"/>
        <v>0.83049854852116667</v>
      </c>
      <c r="AQ65" s="170">
        <f t="shared" si="57"/>
        <v>0.83117055124898176</v>
      </c>
      <c r="AS65" s="170">
        <f t="shared" ref="AS65:BE65" si="58">AS64/AS63</f>
        <v>0.85305047398617029</v>
      </c>
      <c r="AT65" s="170">
        <f t="shared" si="58"/>
        <v>0.81507450917384661</v>
      </c>
      <c r="AU65" s="170">
        <v>0.82527593833087698</v>
      </c>
      <c r="AV65" s="170">
        <f t="shared" si="58"/>
        <v>0.83049854852116667</v>
      </c>
      <c r="AW65" s="170">
        <f t="shared" si="58"/>
        <v>0.83117055124898176</v>
      </c>
      <c r="AX65" s="170">
        <f t="shared" si="58"/>
        <v>0.84178986532339284</v>
      </c>
      <c r="AY65" s="170">
        <f t="shared" si="58"/>
        <v>0.83319023614643872</v>
      </c>
      <c r="AZ65" s="170">
        <f t="shared" si="58"/>
        <v>0.83633917147172265</v>
      </c>
      <c r="BA65" s="170">
        <f t="shared" si="58"/>
        <v>0.82892975013537151</v>
      </c>
      <c r="BB65" s="170">
        <f t="shared" si="58"/>
        <v>0.8350837954880751</v>
      </c>
      <c r="BC65" s="170">
        <f t="shared" si="58"/>
        <v>0.81034014364862239</v>
      </c>
      <c r="BD65" s="171">
        <f t="shared" si="58"/>
        <v>0.51629622284951981</v>
      </c>
      <c r="BE65" s="171">
        <f t="shared" si="58"/>
        <v>0.66306889498866317</v>
      </c>
      <c r="BF65" s="171">
        <f>BF64/BF63</f>
        <v>0.72426318063197725</v>
      </c>
      <c r="BG65" s="171">
        <f>BG64/BG63</f>
        <v>0.76499918119811128</v>
      </c>
      <c r="BH65" s="170">
        <f t="shared" ref="BH65:BK65" si="59">BH64/BH63</f>
        <v>0.65502597816065555</v>
      </c>
      <c r="BI65" s="170">
        <f t="shared" si="59"/>
        <v>0.68660058994031525</v>
      </c>
      <c r="BJ65" s="170">
        <f t="shared" si="59"/>
        <v>0.75129548302912708</v>
      </c>
      <c r="BK65" s="170">
        <f t="shared" si="59"/>
        <v>0.81328779497213888</v>
      </c>
      <c r="BL65" s="171">
        <f>BL64/BL63</f>
        <v>0.7439346786503378</v>
      </c>
      <c r="BM65" s="170">
        <f t="shared" ref="BM65:BO65" si="60">BM64/BM63</f>
        <v>0.80478272879669299</v>
      </c>
      <c r="BN65" s="170">
        <f t="shared" si="60"/>
        <v>0.80236833167397825</v>
      </c>
      <c r="BO65" s="170">
        <f t="shared" si="60"/>
        <v>0.82892407915812361</v>
      </c>
      <c r="BP65" s="167">
        <f>SUM(BM67:BO67)</f>
        <v>733.52096858110303</v>
      </c>
      <c r="BQ65" s="120">
        <f>BP65*4/3</f>
        <v>978.02795810813734</v>
      </c>
    </row>
    <row r="66" spans="2:69" s="120" customFormat="1" x14ac:dyDescent="0.2">
      <c r="B66" s="163" t="s">
        <v>703</v>
      </c>
      <c r="C66" s="164" t="s">
        <v>704</v>
      </c>
      <c r="D66" s="165">
        <v>14818.731</v>
      </c>
      <c r="E66" s="165">
        <v>14708.569</v>
      </c>
      <c r="F66" s="165">
        <v>15307.93</v>
      </c>
      <c r="G66" s="165">
        <v>15447.798000000001</v>
      </c>
      <c r="H66" s="165">
        <v>60283.027999999998</v>
      </c>
      <c r="I66" s="165">
        <v>15568.986000000001</v>
      </c>
      <c r="J66" s="165">
        <v>15155.053</v>
      </c>
      <c r="K66" s="165">
        <v>16940.044999999998</v>
      </c>
      <c r="L66" s="165">
        <v>17192.900000000001</v>
      </c>
      <c r="M66" s="165">
        <v>64677</v>
      </c>
      <c r="N66" s="165">
        <v>16612.492999999999</v>
      </c>
      <c r="O66" s="165">
        <v>15579.194</v>
      </c>
      <c r="P66" s="165">
        <v>17287.382000000001</v>
      </c>
      <c r="Q66" s="165">
        <f>R66-P66-O66-N66</f>
        <v>17216.570999999985</v>
      </c>
      <c r="R66" s="165">
        <v>66695.639999999985</v>
      </c>
      <c r="S66" s="165">
        <v>16833.204000000002</v>
      </c>
      <c r="T66" s="165">
        <v>15815.947</v>
      </c>
      <c r="U66" s="165">
        <v>17338.988999999998</v>
      </c>
      <c r="V66" s="165">
        <v>17845.29</v>
      </c>
      <c r="W66" s="165">
        <v>67833.429999999993</v>
      </c>
      <c r="X66" s="165">
        <v>17244.813999999998</v>
      </c>
      <c r="Y66" s="165">
        <v>15791.852999999999</v>
      </c>
      <c r="Z66" s="165">
        <v>17571</v>
      </c>
      <c r="AA66" s="165">
        <v>17226.698999999993</v>
      </c>
      <c r="AB66" s="165">
        <f>+AA66+Z66+Y66+X66</f>
        <v>67834.365999999995</v>
      </c>
      <c r="AC66" s="165">
        <v>17099</v>
      </c>
      <c r="AD66" s="165">
        <v>15492.361999999999</v>
      </c>
      <c r="AE66" s="165">
        <v>17305.365000000002</v>
      </c>
      <c r="AF66" s="165">
        <v>17062.983</v>
      </c>
      <c r="AG66" s="165">
        <v>66960.084000000003</v>
      </c>
      <c r="AH66" s="165">
        <v>16684.705999999998</v>
      </c>
      <c r="AI66" s="165">
        <v>15228.065000000002</v>
      </c>
      <c r="AJ66" s="165">
        <v>17619.86</v>
      </c>
      <c r="AK66" s="165">
        <v>17613.526000000002</v>
      </c>
      <c r="AL66" s="165">
        <f>SUM(AH66:AK66)</f>
        <v>67146.157000000007</v>
      </c>
      <c r="AM66" s="165">
        <v>17285.696</v>
      </c>
      <c r="AN66" s="165">
        <v>15450.621999999999</v>
      </c>
      <c r="AO66" s="165">
        <v>17837.739000000001</v>
      </c>
      <c r="AP66" s="165">
        <v>18232.088</v>
      </c>
      <c r="AQ66" s="165">
        <f>SUM(AM66:AP66)</f>
        <v>68806.145000000004</v>
      </c>
      <c r="AS66" s="165">
        <v>17285.696</v>
      </c>
      <c r="AT66" s="165">
        <v>15450.621999999999</v>
      </c>
      <c r="AU66" s="165">
        <v>17837.739000000001</v>
      </c>
      <c r="AV66" s="165">
        <v>18232.088</v>
      </c>
      <c r="AW66" s="165">
        <f>SUM(AS66:AV66)</f>
        <v>68806.145000000004</v>
      </c>
      <c r="AX66" s="165">
        <v>18173.532999999999</v>
      </c>
      <c r="AY66" s="165">
        <v>16875.125</v>
      </c>
      <c r="AZ66" s="165">
        <v>19194.021000000001</v>
      </c>
      <c r="BA66" s="165">
        <v>19946.424999999999</v>
      </c>
      <c r="BB66" s="165">
        <f>+SUM(AX66:BA66)</f>
        <v>74189.103999999992</v>
      </c>
      <c r="BC66" s="165">
        <v>17653.687000000002</v>
      </c>
      <c r="BD66" s="168">
        <v>640.01099999999997</v>
      </c>
      <c r="BE66" s="168">
        <v>2601.2840000000001</v>
      </c>
      <c r="BF66" s="168">
        <v>7403.9229999999998</v>
      </c>
      <c r="BG66" s="168">
        <f>+SUM(BC66:BF66)</f>
        <v>28298.904999999999</v>
      </c>
      <c r="BH66" s="165">
        <v>7342.5690000000004</v>
      </c>
      <c r="BI66" s="165">
        <v>6419.9920000000002</v>
      </c>
      <c r="BJ66" s="165">
        <v>11584.696</v>
      </c>
      <c r="BK66" s="165">
        <v>14848.138000000001</v>
      </c>
      <c r="BL66" s="168">
        <f>+SUM(BH66:BK66)</f>
        <v>40195.395000000004</v>
      </c>
      <c r="BM66" s="165">
        <v>14350.382</v>
      </c>
      <c r="BN66" s="165">
        <v>13974.303</v>
      </c>
      <c r="BO66" s="165">
        <v>16988.740000000002</v>
      </c>
    </row>
    <row r="67" spans="2:69" s="120" customFormat="1" x14ac:dyDescent="0.2">
      <c r="B67" s="163" t="s">
        <v>705</v>
      </c>
      <c r="C67" s="164" t="s">
        <v>700</v>
      </c>
      <c r="D67" s="165">
        <v>308.31418067099997</v>
      </c>
      <c r="E67" s="165">
        <v>306.73812070399998</v>
      </c>
      <c r="F67" s="165">
        <v>320.73949672399999</v>
      </c>
      <c r="G67" s="165">
        <v>325.25358985399998</v>
      </c>
      <c r="H67" s="165">
        <v>1261.0453879529998</v>
      </c>
      <c r="I67" s="165">
        <v>324.69991911100004</v>
      </c>
      <c r="J67" s="165">
        <v>311.87704889500003</v>
      </c>
      <c r="K67" s="165">
        <v>322.65261560000005</v>
      </c>
      <c r="L67" s="165">
        <v>335.87034748400004</v>
      </c>
      <c r="M67" s="165">
        <v>1295.0999310900002</v>
      </c>
      <c r="N67" s="165">
        <v>331.521775349</v>
      </c>
      <c r="O67" s="165">
        <v>308.23108129606743</v>
      </c>
      <c r="P67" s="165">
        <v>313.43815746000001</v>
      </c>
      <c r="Q67" s="165">
        <v>313.52755514880721</v>
      </c>
      <c r="R67" s="165">
        <f>SUM(N67:Q67)</f>
        <v>1266.7185692538746</v>
      </c>
      <c r="S67" s="165">
        <v>309.12410392103959</v>
      </c>
      <c r="T67" s="165">
        <v>292.25255919314583</v>
      </c>
      <c r="U67" s="165">
        <v>305.72907999699999</v>
      </c>
      <c r="V67" s="165">
        <v>312.77692518142902</v>
      </c>
      <c r="W67" s="165">
        <v>1219.8826682926142</v>
      </c>
      <c r="X67" s="165">
        <v>306.82790119894207</v>
      </c>
      <c r="Y67" s="165">
        <v>292.34466782170199</v>
      </c>
      <c r="Z67" s="165">
        <v>311.3</v>
      </c>
      <c r="AA67" s="165">
        <v>310.554775347298</v>
      </c>
      <c r="AB67" s="165">
        <f>+AA67+Z67+Y67+X67</f>
        <v>1221.0273443679421</v>
      </c>
      <c r="AC67" s="165">
        <v>306.84300000000002</v>
      </c>
      <c r="AD67" s="165">
        <v>280.049826030502</v>
      </c>
      <c r="AE67" s="165">
        <v>299.24961537180201</v>
      </c>
      <c r="AF67" s="165">
        <v>299.36588495240801</v>
      </c>
      <c r="AG67" s="165">
        <v>1185.5087576021599</v>
      </c>
      <c r="AH67" s="165">
        <v>292.77062884628401</v>
      </c>
      <c r="AI67" s="165">
        <v>271.82104241940499</v>
      </c>
      <c r="AJ67" s="165">
        <v>293.63508902272901</v>
      </c>
      <c r="AK67" s="165">
        <v>297.83556605021101</v>
      </c>
      <c r="AL67" s="165">
        <f>SUM(AH67:AK67)</f>
        <v>1156.0623263386292</v>
      </c>
      <c r="AM67" s="165">
        <f>297199.047355577/1000</f>
        <v>297.19904735557702</v>
      </c>
      <c r="AN67" s="165">
        <v>281.343464424047</v>
      </c>
      <c r="AO67" s="165">
        <v>309.53108738476999</v>
      </c>
      <c r="AP67" s="165">
        <v>317.115194162916</v>
      </c>
      <c r="AQ67" s="165">
        <f>SUM(AM67:AP67)</f>
        <v>1205.1887933273099</v>
      </c>
      <c r="AS67" s="165">
        <f>297199.047355577/1000</f>
        <v>297.19904735557702</v>
      </c>
      <c r="AT67" s="165">
        <v>281.343464424047</v>
      </c>
      <c r="AU67" s="165">
        <v>309.53108738476999</v>
      </c>
      <c r="AV67" s="165">
        <v>317.115194162916</v>
      </c>
      <c r="AW67" s="165">
        <f>SUM(AS67:AV67)</f>
        <v>1205.1887933273099</v>
      </c>
      <c r="AX67" s="165">
        <v>322.23706382565399</v>
      </c>
      <c r="AY67" s="165">
        <v>300.24616727084799</v>
      </c>
      <c r="AZ67" s="165">
        <v>322.94104264514203</v>
      </c>
      <c r="BA67" s="165">
        <v>327.25249102170301</v>
      </c>
      <c r="BB67" s="165">
        <f>SUM(AX67:BA67)</f>
        <v>1272.6767647633469</v>
      </c>
      <c r="BC67" s="165">
        <v>286.48791457367997</v>
      </c>
      <c r="BD67" s="168">
        <v>66.321909665648306</v>
      </c>
      <c r="BE67" s="168">
        <v>78.009416637835898</v>
      </c>
      <c r="BF67" s="168">
        <v>146.96410062192672</v>
      </c>
      <c r="BG67" s="168">
        <f>SUM(BC67:BF67)</f>
        <v>577.78334149909097</v>
      </c>
      <c r="BH67" s="165">
        <v>143.86855560003389</v>
      </c>
      <c r="BI67" s="165">
        <v>128.29621309168991</v>
      </c>
      <c r="BJ67" s="165">
        <v>178.81147674429101</v>
      </c>
      <c r="BK67" s="165">
        <v>226.13380188899902</v>
      </c>
      <c r="BL67" s="168">
        <f>SUM(BH67:BK67)</f>
        <v>677.11004732501374</v>
      </c>
      <c r="BM67" s="165">
        <v>232.39667301493699</v>
      </c>
      <c r="BN67" s="165">
        <v>231.054550022505</v>
      </c>
      <c r="BO67" s="165">
        <v>270.06974554366104</v>
      </c>
    </row>
    <row r="68" spans="2:69" s="120" customFormat="1" x14ac:dyDescent="0.2">
      <c r="B68" s="163" t="s">
        <v>706</v>
      </c>
      <c r="C68" s="164" t="s">
        <v>707</v>
      </c>
      <c r="D68" s="172">
        <f>D9/D64/10</f>
        <v>10.888986762706242</v>
      </c>
      <c r="E68" s="172">
        <f t="shared" ref="E68:U68" si="61">E9/E64/10</f>
        <v>11.182882370564824</v>
      </c>
      <c r="F68" s="172">
        <f t="shared" si="61"/>
        <v>11.732712520608439</v>
      </c>
      <c r="G68" s="172">
        <f t="shared" si="61"/>
        <v>11.800683219067539</v>
      </c>
      <c r="H68" s="172">
        <f t="shared" si="61"/>
        <v>11.407717468391963</v>
      </c>
      <c r="I68" s="172">
        <f t="shared" si="61"/>
        <v>10.853296287411611</v>
      </c>
      <c r="J68" s="172">
        <f t="shared" si="61"/>
        <v>10.469268751976871</v>
      </c>
      <c r="K68" s="172">
        <f t="shared" si="61"/>
        <v>10.5257578260993</v>
      </c>
      <c r="L68" s="172">
        <f t="shared" si="61"/>
        <v>10.56898604034852</v>
      </c>
      <c r="M68" s="172">
        <f t="shared" si="61"/>
        <v>10.604859994891003</v>
      </c>
      <c r="N68" s="172">
        <f t="shared" si="61"/>
        <v>10.521369765511917</v>
      </c>
      <c r="O68" s="172">
        <f t="shared" si="61"/>
        <v>10.136691628766437</v>
      </c>
      <c r="P68" s="172">
        <f t="shared" si="61"/>
        <v>10.414058703852934</v>
      </c>
      <c r="Q68" s="172">
        <f t="shared" si="61"/>
        <v>10.464786462458234</v>
      </c>
      <c r="R68" s="172">
        <f t="shared" si="61"/>
        <v>10.389710446728779</v>
      </c>
      <c r="S68" s="172">
        <f t="shared" si="61"/>
        <v>9.8741043985969323</v>
      </c>
      <c r="T68" s="172">
        <f t="shared" si="61"/>
        <v>9.9063449199583786</v>
      </c>
      <c r="U68" s="172">
        <f t="shared" si="61"/>
        <v>9.490955278401751</v>
      </c>
      <c r="V68" s="172">
        <f>V9/V64/10</f>
        <v>9.0226750869248864</v>
      </c>
      <c r="W68" s="172">
        <f>W9/W64/10</f>
        <v>9.5639316064299909</v>
      </c>
      <c r="X68" s="172">
        <f>X9/X64/10</f>
        <v>8.3583953566128155</v>
      </c>
      <c r="Y68" s="172">
        <v>7.6525364156251685</v>
      </c>
      <c r="Z68" s="172">
        <v>7.2953230601756713</v>
      </c>
      <c r="AA68" s="172">
        <v>6.894980361194861</v>
      </c>
      <c r="AB68" s="172">
        <v>7.5424849268749963</v>
      </c>
      <c r="AC68" s="172">
        <v>6.7157968666277936</v>
      </c>
      <c r="AD68" s="172">
        <v>6.4894157819812888</v>
      </c>
      <c r="AE68" s="172">
        <v>7.1694822304320613</v>
      </c>
      <c r="AF68" s="172">
        <v>7.3163609734828103</v>
      </c>
      <c r="AG68" s="172">
        <v>6.9329693835461672</v>
      </c>
      <c r="AH68" s="172">
        <v>7.1820496609095716</v>
      </c>
      <c r="AI68" s="172">
        <v>7.0983714867102083</v>
      </c>
      <c r="AJ68" s="172">
        <v>7.4044691603405637</v>
      </c>
      <c r="AK68" s="172">
        <v>7.6558995402915331</v>
      </c>
      <c r="AL68" s="172">
        <v>7.3422757914319634</v>
      </c>
      <c r="AM68" s="172">
        <v>7.6289517843286436</v>
      </c>
      <c r="AN68" s="172">
        <v>7.221126246659912</v>
      </c>
      <c r="AO68" s="172">
        <v>6.8642740775784841</v>
      </c>
      <c r="AP68" s="172">
        <v>7.5314347387196623</v>
      </c>
      <c r="AQ68" s="172">
        <v>7.313719198443553</v>
      </c>
      <c r="AS68" s="172">
        <v>7.6289517843286436</v>
      </c>
      <c r="AT68" s="172">
        <v>7.221126246659912</v>
      </c>
      <c r="AU68" s="172">
        <v>6.8642740775784841</v>
      </c>
      <c r="AV68" s="172">
        <v>7.5314347387196623</v>
      </c>
      <c r="AW68" s="172">
        <v>7.313719198443553</v>
      </c>
      <c r="AX68" s="172">
        <v>6.7794838856146473</v>
      </c>
      <c r="AY68" s="172">
        <v>6.9584589080957873</v>
      </c>
      <c r="AZ68" s="172">
        <v>7.3866909502238274</v>
      </c>
      <c r="BA68" s="172">
        <v>7.7827657723014836</v>
      </c>
      <c r="BB68" s="172">
        <v>7.2321974231013373</v>
      </c>
      <c r="BC68" s="172">
        <v>7.0009733012024169</v>
      </c>
      <c r="BD68" s="173">
        <v>10.873341679529059</v>
      </c>
      <c r="BE68" s="173">
        <v>3.3839327665664918</v>
      </c>
      <c r="BF68" s="173">
        <f t="shared" ref="BF68:BO68" si="62">BF9/BF64/10</f>
        <v>4.9826031048248813</v>
      </c>
      <c r="BG68" s="173">
        <f t="shared" si="62"/>
        <v>6.3667178552753878</v>
      </c>
      <c r="BH68" s="173">
        <f t="shared" si="62"/>
        <v>5.5556411046775391</v>
      </c>
      <c r="BI68" s="173">
        <f t="shared" si="62"/>
        <v>6.1710160173734483</v>
      </c>
      <c r="BJ68" s="173">
        <f t="shared" si="62"/>
        <v>6.4672157484222579</v>
      </c>
      <c r="BK68" s="173">
        <f t="shared" si="62"/>
        <v>7.433303515788948</v>
      </c>
      <c r="BL68" s="173">
        <f t="shared" si="62"/>
        <v>6.6427078290338128</v>
      </c>
      <c r="BM68" s="173">
        <f t="shared" si="62"/>
        <v>7.1266472549326974</v>
      </c>
      <c r="BN68" s="173">
        <f t="shared" si="62"/>
        <v>8.4425119611270958</v>
      </c>
      <c r="BO68" s="173">
        <f t="shared" si="62"/>
        <v>8.4377608491164864</v>
      </c>
    </row>
    <row r="69" spans="2:69" s="120" customFormat="1" x14ac:dyDescent="0.2">
      <c r="B69" s="163" t="s">
        <v>708</v>
      </c>
      <c r="C69" s="164" t="s">
        <v>707</v>
      </c>
      <c r="D69" s="172">
        <f>D9/D63/10</f>
        <v>8.3464516438482494</v>
      </c>
      <c r="E69" s="172">
        <f t="shared" ref="E69:U69" si="63">E9/E63/10</f>
        <v>8.4197709262622151</v>
      </c>
      <c r="F69" s="172">
        <f t="shared" si="63"/>
        <v>8.9479212095568208</v>
      </c>
      <c r="G69" s="172">
        <f t="shared" si="63"/>
        <v>8.9031597661745732</v>
      </c>
      <c r="H69" s="172">
        <f t="shared" si="63"/>
        <v>8.6600788038406193</v>
      </c>
      <c r="I69" s="172">
        <f t="shared" si="63"/>
        <v>8.3889558808509932</v>
      </c>
      <c r="J69" s="172">
        <f t="shared" si="63"/>
        <v>8.0790997092478669</v>
      </c>
      <c r="K69" s="172">
        <f t="shared" si="63"/>
        <v>8.5411327286529595</v>
      </c>
      <c r="L69" s="172">
        <f t="shared" si="63"/>
        <v>8.3186672298458291</v>
      </c>
      <c r="M69" s="172">
        <f t="shared" si="63"/>
        <v>8.3344526188289514</v>
      </c>
      <c r="N69" s="172">
        <f t="shared" si="63"/>
        <v>8.3462253103159689</v>
      </c>
      <c r="O69" s="172">
        <f t="shared" si="63"/>
        <v>8.0192159824139146</v>
      </c>
      <c r="P69" s="172">
        <f t="shared" si="63"/>
        <v>8.5775957114053831</v>
      </c>
      <c r="Q69" s="172">
        <f t="shared" si="63"/>
        <v>8.6407302774312598</v>
      </c>
      <c r="R69" s="172">
        <f t="shared" si="63"/>
        <v>8.3996392718125392</v>
      </c>
      <c r="S69" s="172">
        <f t="shared" si="63"/>
        <v>8.1654159634656374</v>
      </c>
      <c r="T69" s="172">
        <f t="shared" si="63"/>
        <v>8.1650649894855665</v>
      </c>
      <c r="U69" s="172">
        <f t="shared" si="63"/>
        <v>8.0202467225664638</v>
      </c>
      <c r="V69" s="172">
        <f>V9/V63/10</f>
        <v>7.5567822893904602</v>
      </c>
      <c r="W69" s="172">
        <f>W9/W63/10</f>
        <v>7.9723864545669301</v>
      </c>
      <c r="X69" s="172">
        <f>X9/X63/10</f>
        <v>6.968133095758331</v>
      </c>
      <c r="Y69" s="172">
        <v>6.2630735676920519</v>
      </c>
      <c r="Z69" s="172">
        <v>6.1226870056758287</v>
      </c>
      <c r="AA69" s="172">
        <v>5.7151532194276564</v>
      </c>
      <c r="AB69" s="172">
        <v>6.2624750834044196</v>
      </c>
      <c r="AC69" s="172">
        <f t="shared" ref="AC69:AL69" si="64">AC9/AC63/10</f>
        <v>5.6591502709883708</v>
      </c>
      <c r="AD69" s="172">
        <f t="shared" si="64"/>
        <v>5.3873276724108417</v>
      </c>
      <c r="AE69" s="172">
        <f t="shared" si="64"/>
        <v>6.0828311000247037</v>
      </c>
      <c r="AF69" s="172">
        <f t="shared" si="64"/>
        <v>6.1847339385830953</v>
      </c>
      <c r="AG69" s="172">
        <f t="shared" si="64"/>
        <v>5.8367411892420344</v>
      </c>
      <c r="AH69" s="172">
        <f t="shared" si="64"/>
        <v>6.0848373923884411</v>
      </c>
      <c r="AI69" s="172">
        <f t="shared" si="64"/>
        <v>5.9443538008034027</v>
      </c>
      <c r="AJ69" s="172">
        <f t="shared" si="64"/>
        <v>6.3417160364569227</v>
      </c>
      <c r="AK69" s="172">
        <f t="shared" si="64"/>
        <v>6.5124128413773068</v>
      </c>
      <c r="AL69" s="172">
        <f t="shared" si="64"/>
        <v>6.2276948613783123</v>
      </c>
      <c r="AM69" s="172">
        <v>6.5078809356391885</v>
      </c>
      <c r="AN69" s="172">
        <v>5.8857559311787089</v>
      </c>
      <c r="AO69" s="172">
        <v>5.664920230333899</v>
      </c>
      <c r="AP69" s="172">
        <v>6.2548456187885728</v>
      </c>
      <c r="AQ69" s="172">
        <v>6.0789480178505881</v>
      </c>
      <c r="AS69" s="172">
        <v>6.5078809356391885</v>
      </c>
      <c r="AT69" s="172">
        <v>5.8857559311787089</v>
      </c>
      <c r="AU69" s="172">
        <v>5.664920230333899</v>
      </c>
      <c r="AV69" s="172">
        <v>6.2548456187885728</v>
      </c>
      <c r="AW69" s="172">
        <v>6.0789480178505881</v>
      </c>
      <c r="AX69" s="172">
        <v>5.7069008270336665</v>
      </c>
      <c r="AY69" s="172">
        <v>5.7977200208516191</v>
      </c>
      <c r="AZ69" s="172">
        <v>6.1777789892278667</v>
      </c>
      <c r="BA69" s="172">
        <v>6.451366086995991</v>
      </c>
      <c r="BB69" s="172">
        <v>6.03949103100513</v>
      </c>
      <c r="BC69" s="173">
        <f>BC9/BC63/10</f>
        <v>5.6731697105765377</v>
      </c>
      <c r="BD69" s="173">
        <f>BD9/BD63/10</f>
        <v>5.6138734756093687</v>
      </c>
      <c r="BE69" s="173">
        <f>BE9/BE63/10</f>
        <v>2.2437805602431737</v>
      </c>
      <c r="BF69" s="173">
        <f>BF9/BF63/10</f>
        <v>3.6087159725272335</v>
      </c>
      <c r="BG69" s="173">
        <f>BG9/BG63/10</f>
        <v>4.8705339462050663</v>
      </c>
      <c r="BH69" s="172">
        <f t="shared" ref="BH69:BK69" si="65">BH9/BH63/10</f>
        <v>3.6390892489009503</v>
      </c>
      <c r="BI69" s="172">
        <f t="shared" si="65"/>
        <v>4.2370232380597441</v>
      </c>
      <c r="BJ69" s="172">
        <f t="shared" si="65"/>
        <v>4.8587899795644782</v>
      </c>
      <c r="BK69" s="172">
        <f t="shared" si="65"/>
        <v>6.0454150257146413</v>
      </c>
      <c r="BL69" s="173">
        <f>BL9/BL63/10</f>
        <v>4.9417407141603524</v>
      </c>
      <c r="BM69" s="172">
        <f t="shared" ref="BM69:BO69" si="66">BM9/BM63/10</f>
        <v>5.7354026249961976</v>
      </c>
      <c r="BN69" s="172">
        <f t="shared" si="66"/>
        <v>6.774004237387155</v>
      </c>
      <c r="BO69" s="172">
        <f t="shared" si="66"/>
        <v>6.9942631420103512</v>
      </c>
    </row>
    <row r="70" spans="2:69" s="120" customFormat="1" x14ac:dyDescent="0.2">
      <c r="B70" s="163"/>
      <c r="C70" s="164"/>
      <c r="D70" s="104"/>
      <c r="E70" s="104"/>
      <c r="F70" s="104"/>
      <c r="G70" s="104"/>
      <c r="H70" s="104"/>
      <c r="I70" s="104"/>
      <c r="J70" s="104"/>
      <c r="K70" s="104"/>
      <c r="L70" s="104"/>
      <c r="M70" s="104"/>
      <c r="R70" s="104"/>
      <c r="W70" s="104"/>
      <c r="AB70" s="104"/>
      <c r="AC70" s="174"/>
      <c r="AD70" s="174"/>
      <c r="AE70" s="174"/>
      <c r="AF70" s="174"/>
      <c r="AG70" s="174"/>
      <c r="AH70" s="174"/>
      <c r="AI70" s="174"/>
      <c r="AJ70" s="174"/>
      <c r="AK70" s="174"/>
      <c r="AL70" s="174"/>
      <c r="AM70" s="174"/>
      <c r="AN70" s="174"/>
      <c r="AO70" s="174"/>
      <c r="AP70" s="174"/>
      <c r="AQ70" s="174"/>
      <c r="AS70" s="174"/>
      <c r="AT70" s="174"/>
      <c r="AU70" s="174"/>
      <c r="AV70" s="174"/>
      <c r="AW70" s="174"/>
      <c r="AX70" s="174"/>
      <c r="AY70" s="174"/>
      <c r="AZ70" s="174"/>
      <c r="BA70" s="174"/>
      <c r="BB70" s="577">
        <f>+BB69*BB63/100</f>
        <v>9005.629201718999</v>
      </c>
      <c r="BC70" s="174"/>
      <c r="BD70" s="175"/>
      <c r="BE70" s="175"/>
      <c r="BF70" s="175"/>
      <c r="BG70" s="577">
        <f>+BG69*BG63/100</f>
        <v>2713.7739999999994</v>
      </c>
      <c r="BH70" s="174"/>
      <c r="BI70" s="174"/>
      <c r="BJ70" s="174"/>
      <c r="BK70" s="174"/>
      <c r="BL70" s="577">
        <f>+BL69*BL63/100</f>
        <v>3342.3805721577451</v>
      </c>
      <c r="BM70" s="174"/>
      <c r="BN70" s="174"/>
      <c r="BO70" s="174"/>
    </row>
    <row r="71" spans="2:69" s="179" customFormat="1" x14ac:dyDescent="0.2">
      <c r="B71" s="176" t="s">
        <v>709</v>
      </c>
      <c r="C71" s="177"/>
      <c r="D71" s="178"/>
      <c r="E71" s="178"/>
      <c r="F71" s="178"/>
      <c r="G71" s="178"/>
      <c r="H71" s="178"/>
      <c r="I71" s="178"/>
      <c r="J71" s="178"/>
      <c r="K71" s="178"/>
      <c r="L71" s="178"/>
      <c r="M71" s="178"/>
      <c r="R71" s="178"/>
      <c r="W71" s="178"/>
      <c r="AB71" s="178"/>
      <c r="AC71" s="180"/>
      <c r="AD71" s="180"/>
      <c r="AE71" s="180"/>
      <c r="AF71" s="180"/>
      <c r="AG71" s="181"/>
      <c r="AH71" s="180"/>
      <c r="AI71" s="180"/>
      <c r="AJ71" s="180"/>
      <c r="AK71" s="180"/>
      <c r="AL71" s="181"/>
      <c r="AM71" s="182"/>
      <c r="AN71" s="182"/>
      <c r="AO71" s="182"/>
      <c r="AP71" s="182"/>
      <c r="AQ71" s="181"/>
      <c r="AS71" s="182"/>
      <c r="AT71" s="182"/>
      <c r="AU71" s="182"/>
      <c r="AV71" s="182"/>
      <c r="AW71" s="181"/>
      <c r="AX71" s="182"/>
      <c r="AY71" s="182"/>
      <c r="AZ71" s="182"/>
      <c r="BA71" s="182"/>
      <c r="BB71" s="181"/>
      <c r="BC71" s="182"/>
      <c r="BD71" s="183"/>
      <c r="BE71" s="183"/>
      <c r="BF71" s="183"/>
      <c r="BG71" s="184"/>
      <c r="BH71" s="182"/>
      <c r="BI71" s="182"/>
      <c r="BJ71" s="182"/>
      <c r="BK71" s="182"/>
      <c r="BL71" s="184"/>
      <c r="BM71" s="182"/>
      <c r="BN71" s="182"/>
      <c r="BO71" s="182"/>
    </row>
    <row r="72" spans="2:69" s="179" customFormat="1" x14ac:dyDescent="0.2">
      <c r="B72" s="185" t="s">
        <v>699</v>
      </c>
      <c r="C72" s="177" t="s">
        <v>700</v>
      </c>
      <c r="D72" s="186"/>
      <c r="E72" s="186"/>
      <c r="F72" s="186"/>
      <c r="G72" s="186"/>
      <c r="H72" s="186"/>
      <c r="I72" s="186">
        <v>16183.019872000001</v>
      </c>
      <c r="J72" s="186">
        <v>15586.189938</v>
      </c>
      <c r="K72" s="186">
        <v>16298.298781</v>
      </c>
      <c r="L72" s="186">
        <v>17560.278265999998</v>
      </c>
      <c r="M72" s="186">
        <f>SUM(I72:L72)</f>
        <v>65627.786856999999</v>
      </c>
      <c r="N72" s="182">
        <v>18038.576758000003</v>
      </c>
      <c r="O72" s="182">
        <v>16152.188666</v>
      </c>
      <c r="P72" s="182">
        <v>16552.831168999997</v>
      </c>
      <c r="Q72" s="182">
        <v>16418.734156999999</v>
      </c>
      <c r="R72" s="186">
        <v>67162.330749999994</v>
      </c>
      <c r="S72" s="182">
        <v>16666.934103000003</v>
      </c>
      <c r="T72" s="182">
        <v>15927.898407000001</v>
      </c>
      <c r="U72" s="182">
        <v>16502.394476999998</v>
      </c>
      <c r="V72" s="182">
        <v>16432.867843</v>
      </c>
      <c r="W72" s="186">
        <v>65530.094830000002</v>
      </c>
      <c r="X72" s="182">
        <v>17089.335393000001</v>
      </c>
      <c r="Y72" s="182">
        <v>16390.962330000002</v>
      </c>
      <c r="Z72" s="182">
        <v>17912.667632000001</v>
      </c>
      <c r="AA72" s="182">
        <v>18357.512402</v>
      </c>
      <c r="AB72" s="182">
        <v>69750.477757000001</v>
      </c>
      <c r="AC72" s="182">
        <v>18566.075684999996</v>
      </c>
      <c r="AD72" s="182">
        <v>17550.212117000003</v>
      </c>
      <c r="AE72" s="182">
        <v>18799.253736000002</v>
      </c>
      <c r="AF72" s="182">
        <v>18626.358761</v>
      </c>
      <c r="AG72" s="182">
        <v>73541.900299000001</v>
      </c>
      <c r="AH72" s="182">
        <v>19402.57994</v>
      </c>
      <c r="AI72" s="182">
        <v>18094.49152</v>
      </c>
      <c r="AJ72" s="182">
        <v>19537.376944</v>
      </c>
      <c r="AK72" s="182">
        <v>19331.647982999999</v>
      </c>
      <c r="AL72" s="182">
        <v>76366.096386999998</v>
      </c>
      <c r="AM72" s="182">
        <v>20063.941740000002</v>
      </c>
      <c r="AN72" s="182">
        <v>19054.267531999998</v>
      </c>
      <c r="AO72" s="182">
        <v>21183.51</v>
      </c>
      <c r="AP72" s="182">
        <v>20757.982275000002</v>
      </c>
      <c r="AQ72" s="182">
        <v>81059.701547000004</v>
      </c>
      <c r="AS72" s="182">
        <v>20063.941740000002</v>
      </c>
      <c r="AT72" s="182">
        <v>19054.267531999998</v>
      </c>
      <c r="AU72" s="182">
        <v>21183.51</v>
      </c>
      <c r="AV72" s="182">
        <v>20757.982275000002</v>
      </c>
      <c r="AW72" s="187">
        <f>SUM(AS72:AV72)</f>
        <v>81059.701547000004</v>
      </c>
      <c r="AX72" s="182">
        <v>21694.872538</v>
      </c>
      <c r="AY72" s="182">
        <v>19683.000252999998</v>
      </c>
      <c r="AZ72" s="182">
        <v>20321</v>
      </c>
      <c r="BA72" s="182">
        <v>19633.694111000001</v>
      </c>
      <c r="BB72" s="187">
        <f>SUM(AX72:BA72)</f>
        <v>81332.566902000006</v>
      </c>
      <c r="BC72" s="182">
        <v>17985.836130999996</v>
      </c>
      <c r="BD72" s="183">
        <v>928.45213499999977</v>
      </c>
      <c r="BE72" s="183">
        <v>1392.6152569999999</v>
      </c>
      <c r="BF72" s="183">
        <v>3576.4182740000001</v>
      </c>
      <c r="BG72" s="188">
        <f>SUM(BC72:BF72)</f>
        <v>23883.321796999997</v>
      </c>
      <c r="BH72" s="182">
        <v>4089.7377349999997</v>
      </c>
      <c r="BI72" s="182">
        <v>2796.4821059999995</v>
      </c>
      <c r="BJ72" s="182">
        <v>5462.6192199999996</v>
      </c>
      <c r="BK72" s="182">
        <v>8112.2069759999995</v>
      </c>
      <c r="BL72" s="188">
        <f>SUM(BH72:BK72)</f>
        <v>20461.046037</v>
      </c>
      <c r="BM72" s="182">
        <v>10455.611184999998</v>
      </c>
      <c r="BN72" s="182">
        <v>10681.478418999995</v>
      </c>
      <c r="BO72" s="182">
        <v>13644.871116</v>
      </c>
    </row>
    <row r="73" spans="2:69" s="179" customFormat="1" x14ac:dyDescent="0.2">
      <c r="B73" s="185" t="s">
        <v>701</v>
      </c>
      <c r="C73" s="177" t="s">
        <v>700</v>
      </c>
      <c r="D73" s="186"/>
      <c r="E73" s="186"/>
      <c r="F73" s="186"/>
      <c r="G73" s="186"/>
      <c r="H73" s="186"/>
      <c r="I73" s="186">
        <v>13512.559574999992</v>
      </c>
      <c r="J73" s="186">
        <v>13049.222999</v>
      </c>
      <c r="K73" s="186">
        <v>13661.794648999998</v>
      </c>
      <c r="L73" s="186">
        <v>13733.788896996994</v>
      </c>
      <c r="M73" s="186">
        <f>SUM(I73:L73)</f>
        <v>53957.366119996979</v>
      </c>
      <c r="N73" s="182">
        <v>14361.073850000001</v>
      </c>
      <c r="O73" s="182">
        <v>13123.625204</v>
      </c>
      <c r="P73" s="182">
        <v>13941.096278999999</v>
      </c>
      <c r="Q73" s="182">
        <v>13848.467121999998</v>
      </c>
      <c r="R73" s="186">
        <v>55274.262455000004</v>
      </c>
      <c r="S73" s="182">
        <v>13954.067584999999</v>
      </c>
      <c r="T73" s="182">
        <v>13566.110841</v>
      </c>
      <c r="U73" s="182">
        <v>14447.715613999999</v>
      </c>
      <c r="V73" s="182">
        <v>13983.184946000001</v>
      </c>
      <c r="W73" s="186">
        <v>55951.078986</v>
      </c>
      <c r="X73" s="182">
        <v>14344.420344</v>
      </c>
      <c r="Y73" s="182">
        <v>13850.176441</v>
      </c>
      <c r="Z73" s="182">
        <v>15400.510902000002</v>
      </c>
      <c r="AA73" s="182">
        <v>15408.261146000001</v>
      </c>
      <c r="AB73" s="182">
        <v>59003.368833</v>
      </c>
      <c r="AC73" s="182">
        <v>15854.650270999999</v>
      </c>
      <c r="AD73" s="182">
        <v>14953.730692000001</v>
      </c>
      <c r="AE73" s="182">
        <v>16503.543401999999</v>
      </c>
      <c r="AF73" s="182">
        <v>16080.638457999999</v>
      </c>
      <c r="AG73" s="182">
        <v>63392.562823</v>
      </c>
      <c r="AH73" s="182">
        <v>16834.67067</v>
      </c>
      <c r="AI73" s="182">
        <v>15702.755614999998</v>
      </c>
      <c r="AJ73" s="182">
        <v>17153.668368999999</v>
      </c>
      <c r="AK73" s="182">
        <v>16653.149311000001</v>
      </c>
      <c r="AL73" s="182">
        <v>66344.243965000001</v>
      </c>
      <c r="AM73" s="182">
        <v>17502.768862000001</v>
      </c>
      <c r="AN73" s="182">
        <v>15981.347615000001</v>
      </c>
      <c r="AO73" s="182">
        <v>17640.079769000007</v>
      </c>
      <c r="AP73" s="182">
        <v>17240.967950999999</v>
      </c>
      <c r="AQ73" s="182">
        <v>68365.164197000006</v>
      </c>
      <c r="AS73" s="182">
        <v>17502.768862000001</v>
      </c>
      <c r="AT73" s="182">
        <v>15981.347615000001</v>
      </c>
      <c r="AU73" s="182">
        <v>17640.079769000007</v>
      </c>
      <c r="AV73" s="182">
        <v>17240.967950999999</v>
      </c>
      <c r="AW73" s="187">
        <f>SUM(AS73:AV73)</f>
        <v>68365.164197000006</v>
      </c>
      <c r="AX73" s="182">
        <v>18457.902944999998</v>
      </c>
      <c r="AY73" s="182">
        <v>16942.677381000001</v>
      </c>
      <c r="AZ73" s="182">
        <v>17320.896250000002</v>
      </c>
      <c r="BA73" s="182">
        <v>16343.970272999997</v>
      </c>
      <c r="BB73" s="187">
        <f>SUM(AX73:BA73)</f>
        <v>69065.446849</v>
      </c>
      <c r="BC73" s="182">
        <v>14669</v>
      </c>
      <c r="BD73" s="183">
        <v>386.48044799999997</v>
      </c>
      <c r="BE73" s="183">
        <v>632.75171699999999</v>
      </c>
      <c r="BF73" s="183">
        <v>1931.6828550000002</v>
      </c>
      <c r="BG73" s="188">
        <f>SUM(BC73:BF73)</f>
        <v>17619.91502</v>
      </c>
      <c r="BH73" s="182">
        <v>2085.3899500000002</v>
      </c>
      <c r="BI73" s="182">
        <v>1452.0047759999998</v>
      </c>
      <c r="BJ73" s="182">
        <v>3365.7029320000001</v>
      </c>
      <c r="BK73" s="182">
        <v>6597.3941730000006</v>
      </c>
      <c r="BL73" s="188">
        <f>SUM(BH73:BK73)</f>
        <v>13500.491831000001</v>
      </c>
      <c r="BM73" s="182">
        <v>8251.4485410000034</v>
      </c>
      <c r="BN73" s="182">
        <v>9107.6535879999956</v>
      </c>
      <c r="BO73" s="182">
        <v>11531.360223</v>
      </c>
    </row>
    <row r="74" spans="2:69" s="179" customFormat="1" x14ac:dyDescent="0.2">
      <c r="B74" s="185" t="s">
        <v>702</v>
      </c>
      <c r="C74" s="177" t="s">
        <v>688</v>
      </c>
      <c r="D74" s="178"/>
      <c r="E74" s="178"/>
      <c r="F74" s="178"/>
      <c r="G74" s="178"/>
      <c r="H74" s="178"/>
      <c r="I74" s="189">
        <f t="shared" ref="I74:X74" si="67">I73/I72</f>
        <v>0.83498380907135494</v>
      </c>
      <c r="J74" s="189">
        <f t="shared" si="67"/>
        <v>0.83722982017467062</v>
      </c>
      <c r="K74" s="189">
        <f t="shared" si="67"/>
        <v>0.83823439688849311</v>
      </c>
      <c r="L74" s="189">
        <f t="shared" si="67"/>
        <v>0.78209403569578917</v>
      </c>
      <c r="M74" s="189">
        <f t="shared" si="67"/>
        <v>0.82217256903036606</v>
      </c>
      <c r="N74" s="189">
        <f t="shared" si="67"/>
        <v>0.79613120495390244</v>
      </c>
      <c r="O74" s="189">
        <f t="shared" si="67"/>
        <v>0.81249826109479151</v>
      </c>
      <c r="P74" s="189">
        <f t="shared" si="67"/>
        <v>0.84221823666689521</v>
      </c>
      <c r="Q74" s="189">
        <f t="shared" si="67"/>
        <v>0.84345522557205255</v>
      </c>
      <c r="R74" s="189">
        <f t="shared" si="67"/>
        <v>0.8229950008844803</v>
      </c>
      <c r="S74" s="189">
        <f t="shared" si="67"/>
        <v>0.8372306207467578</v>
      </c>
      <c r="T74" s="189">
        <f t="shared" si="67"/>
        <v>0.85172007595414845</v>
      </c>
      <c r="U74" s="189">
        <f t="shared" si="67"/>
        <v>0.87549207687019714</v>
      </c>
      <c r="V74" s="189">
        <f t="shared" si="67"/>
        <v>0.85092785261803805</v>
      </c>
      <c r="W74" s="189">
        <f t="shared" si="67"/>
        <v>0.85382264639094219</v>
      </c>
      <c r="X74" s="189">
        <f t="shared" si="67"/>
        <v>0.83937847869002846</v>
      </c>
      <c r="Y74" s="189">
        <v>0.84498860787754604</v>
      </c>
      <c r="Z74" s="189">
        <v>0.86</v>
      </c>
      <c r="AA74" s="189">
        <v>0.83934363265478795</v>
      </c>
      <c r="AB74" s="189">
        <v>0.84592064069523198</v>
      </c>
      <c r="AC74" s="189">
        <v>0.85395807600899598</v>
      </c>
      <c r="AD74" s="189">
        <v>0.84569404837915907</v>
      </c>
      <c r="AE74" s="189">
        <f t="shared" ref="AE74:AK74" si="68">AE73/AE72</f>
        <v>0.87788290076622633</v>
      </c>
      <c r="AF74" s="189">
        <f t="shared" si="68"/>
        <v>0.86332700150014041</v>
      </c>
      <c r="AG74" s="189">
        <f t="shared" si="68"/>
        <v>0.86199245008987058</v>
      </c>
      <c r="AH74" s="189">
        <f t="shared" si="68"/>
        <v>0.86765114340768434</v>
      </c>
      <c r="AI74" s="189">
        <f t="shared" si="68"/>
        <v>0.86781966752940276</v>
      </c>
      <c r="AJ74" s="189">
        <f t="shared" si="68"/>
        <v>0.87799239468878409</v>
      </c>
      <c r="AK74" s="189">
        <f t="shared" si="68"/>
        <v>0.86144488693589727</v>
      </c>
      <c r="AL74" s="189">
        <v>0.86876568403847287</v>
      </c>
      <c r="AM74" s="189">
        <v>0.87234946596291296</v>
      </c>
      <c r="AN74" s="189">
        <v>0.8387279956136181</v>
      </c>
      <c r="AO74" s="189">
        <v>0.83272695455096957</v>
      </c>
      <c r="AP74" s="189">
        <v>0.83057051126612913</v>
      </c>
      <c r="AQ74" s="189">
        <v>0.84339274500487205</v>
      </c>
      <c r="AS74" s="189">
        <f t="shared" ref="AS74:AW74" si="69">AS73/AS72</f>
        <v>0.87234946596291296</v>
      </c>
      <c r="AT74" s="189">
        <f t="shared" si="69"/>
        <v>0.8387279956136181</v>
      </c>
      <c r="AU74" s="189">
        <f t="shared" si="69"/>
        <v>0.83272695455096957</v>
      </c>
      <c r="AV74" s="189">
        <f t="shared" si="69"/>
        <v>0.83057051126612913</v>
      </c>
      <c r="AW74" s="189">
        <f t="shared" si="69"/>
        <v>0.84339274500487205</v>
      </c>
      <c r="AX74" s="189">
        <f>AX73/AX72</f>
        <v>0.85079563904649658</v>
      </c>
      <c r="AY74" s="189">
        <f>AY73/AY72</f>
        <v>0.8607771764072234</v>
      </c>
      <c r="AZ74" s="189">
        <f>AZ73/AZ72</f>
        <v>0.8523643644505684</v>
      </c>
      <c r="BA74" s="189">
        <f>BA73/BA72</f>
        <v>0.8324449887320543</v>
      </c>
      <c r="BB74" s="189">
        <f t="shared" ref="BB74" si="70">BB73/BB72</f>
        <v>0.8491733321563425</v>
      </c>
      <c r="BC74" s="189">
        <f>BC73/BC72</f>
        <v>0.81558621423870481</v>
      </c>
      <c r="BD74" s="190">
        <f t="shared" ref="BD74:BO74" si="71">BD73/BD72</f>
        <v>0.41626319056286093</v>
      </c>
      <c r="BE74" s="190">
        <f t="shared" si="71"/>
        <v>0.45436218928341099</v>
      </c>
      <c r="BF74" s="190">
        <f t="shared" si="71"/>
        <v>0.54011659347650454</v>
      </c>
      <c r="BG74" s="190">
        <f t="shared" si="71"/>
        <v>0.7377497640304479</v>
      </c>
      <c r="BH74" s="189">
        <f t="shared" si="71"/>
        <v>0.50990799046922264</v>
      </c>
      <c r="BI74" s="189">
        <f t="shared" si="71"/>
        <v>0.51922548436288829</v>
      </c>
      <c r="BJ74" s="189">
        <f t="shared" si="71"/>
        <v>0.61613354261950559</v>
      </c>
      <c r="BK74" s="189">
        <f t="shared" si="71"/>
        <v>0.81326748596509191</v>
      </c>
      <c r="BL74" s="190">
        <f t="shared" si="71"/>
        <v>0.65981435194402427</v>
      </c>
      <c r="BM74" s="189">
        <f t="shared" si="71"/>
        <v>0.78918854144440964</v>
      </c>
      <c r="BN74" s="189">
        <f t="shared" si="71"/>
        <v>0.85265852073431025</v>
      </c>
      <c r="BO74" s="189">
        <f t="shared" si="71"/>
        <v>0.84510583683552032</v>
      </c>
    </row>
    <row r="75" spans="2:69" s="179" customFormat="1" x14ac:dyDescent="0.2">
      <c r="B75" s="185" t="s">
        <v>708</v>
      </c>
      <c r="C75" s="177" t="s">
        <v>707</v>
      </c>
      <c r="D75" s="186"/>
      <c r="E75" s="186"/>
      <c r="F75" s="186"/>
      <c r="G75" s="186"/>
      <c r="H75" s="186"/>
      <c r="I75" s="191">
        <v>8.2093535212940605</v>
      </c>
      <c r="J75" s="191">
        <v>7.6264454217351734</v>
      </c>
      <c r="K75" s="191">
        <v>8.2109771166711081</v>
      </c>
      <c r="L75" s="191">
        <v>7.452787223320831</v>
      </c>
      <c r="M75" s="192">
        <v>7.8688823534738868</v>
      </c>
      <c r="N75" s="191">
        <v>7.8040032650063456</v>
      </c>
      <c r="O75" s="191">
        <v>7.5161442241109535</v>
      </c>
      <c r="P75" s="191">
        <v>8.2433702322008919</v>
      </c>
      <c r="Q75" s="191">
        <v>7.9754344909091071</v>
      </c>
      <c r="R75" s="192">
        <v>7.8849697436117179</v>
      </c>
      <c r="S75" s="191">
        <v>7.7851374756738645</v>
      </c>
      <c r="T75" s="191">
        <v>7.6000302328104956</v>
      </c>
      <c r="U75" s="191">
        <v>7.724312565577474</v>
      </c>
      <c r="V75" s="191">
        <v>7.430486398335252</v>
      </c>
      <c r="W75" s="192">
        <v>7.6365604107208247</v>
      </c>
      <c r="X75" s="191">
        <v>7.1509767909008302</v>
      </c>
      <c r="Y75" s="191">
        <v>6.3823116438864274</v>
      </c>
      <c r="Z75" s="191">
        <v>6.4443422755569815</v>
      </c>
      <c r="AA75" s="191">
        <v>5.7356452937853399</v>
      </c>
      <c r="AB75" s="192">
        <v>6.4473274005733501</v>
      </c>
      <c r="AC75" s="191">
        <v>5.7292796442761791</v>
      </c>
      <c r="AD75" s="191">
        <v>5.3939368237222096</v>
      </c>
      <c r="AE75" s="191">
        <v>6.0041426995587139</v>
      </c>
      <c r="AF75" s="191">
        <v>6.0059303589572313</v>
      </c>
      <c r="AG75" s="192">
        <v>5.789583744814494</v>
      </c>
      <c r="AH75" s="191">
        <v>6.0415107449388366</v>
      </c>
      <c r="AI75" s="191">
        <v>5.8484039073177838</v>
      </c>
      <c r="AJ75" s="191">
        <v>6.437694129364365</v>
      </c>
      <c r="AK75" s="191">
        <v>6.3414357141904008</v>
      </c>
      <c r="AL75" s="192">
        <v>6.1730384579787332</v>
      </c>
      <c r="AM75" s="192">
        <v>6.5995057883956951</v>
      </c>
      <c r="AN75" s="192">
        <v>6.1015438224542935</v>
      </c>
      <c r="AO75" s="192">
        <v>6.0173747459723286</v>
      </c>
      <c r="AP75" s="192">
        <v>5.695177961663223</v>
      </c>
      <c r="AQ75" s="192">
        <v>6.0987730964642957</v>
      </c>
      <c r="AS75" s="192">
        <v>6.5995057883956951</v>
      </c>
      <c r="AT75" s="192">
        <v>6.1015438224542935</v>
      </c>
      <c r="AU75" s="192">
        <v>6.0173747459723286</v>
      </c>
      <c r="AV75" s="192">
        <v>5.695177961663223</v>
      </c>
      <c r="AW75" s="192">
        <v>6.0987730964642957</v>
      </c>
      <c r="AX75" s="192">
        <v>5.55128329706986</v>
      </c>
      <c r="AY75" s="192">
        <v>5.3238392478390315</v>
      </c>
      <c r="AZ75" s="192">
        <v>6.1276583378975324</v>
      </c>
      <c r="BA75" s="192">
        <v>6.0074729057749146</v>
      </c>
      <c r="BB75" s="192">
        <v>5.7503712253786761</v>
      </c>
      <c r="BC75" s="192">
        <v>5.8916223262569209</v>
      </c>
      <c r="BD75" s="193">
        <v>7.4628903677086171</v>
      </c>
      <c r="BE75" s="193">
        <v>5.2784887369264597</v>
      </c>
      <c r="BF75" s="193">
        <v>4.9855354314409803</v>
      </c>
      <c r="BG75" s="193">
        <v>5.78127093652183</v>
      </c>
      <c r="BH75" s="193">
        <v>3.3266516822013279</v>
      </c>
      <c r="BI75" s="193">
        <v>3.9877729890119324</v>
      </c>
      <c r="BJ75" s="193">
        <v>4.1032780053565592</v>
      </c>
      <c r="BK75" s="193">
        <v>5.7292367380631042</v>
      </c>
      <c r="BL75" s="193">
        <v>4.5769052121700673</v>
      </c>
      <c r="BM75" s="193">
        <v>5.3993270228918719</v>
      </c>
      <c r="BN75" s="193">
        <v>6.4049627389693287</v>
      </c>
      <c r="BO75" s="193">
        <v>6.9255222433272117</v>
      </c>
    </row>
    <row r="76" spans="2:69" s="179" customFormat="1" x14ac:dyDescent="0.2">
      <c r="B76" s="185"/>
      <c r="C76" s="177"/>
      <c r="D76" s="178"/>
      <c r="E76" s="178"/>
      <c r="F76" s="178"/>
      <c r="G76" s="178"/>
      <c r="H76" s="178"/>
      <c r="I76" s="178"/>
      <c r="J76" s="178"/>
      <c r="K76" s="178"/>
      <c r="L76" s="178"/>
      <c r="M76" s="178"/>
      <c r="R76" s="178"/>
      <c r="W76" s="178"/>
      <c r="X76" s="189"/>
      <c r="Y76" s="189"/>
      <c r="Z76" s="189"/>
      <c r="AA76" s="189"/>
      <c r="AB76" s="189"/>
      <c r="AC76" s="189"/>
      <c r="AD76" s="189"/>
      <c r="AE76" s="189"/>
      <c r="AF76" s="189"/>
      <c r="AG76" s="189"/>
      <c r="AH76" s="189"/>
      <c r="AI76" s="189"/>
      <c r="AJ76" s="189"/>
      <c r="AK76" s="189"/>
      <c r="AL76" s="189"/>
      <c r="AM76" s="189"/>
      <c r="AN76" s="189"/>
      <c r="AO76" s="189"/>
      <c r="AP76" s="189"/>
      <c r="AQ76" s="189"/>
      <c r="AS76" s="189"/>
      <c r="AT76" s="189"/>
      <c r="AU76" s="189"/>
      <c r="AV76" s="189"/>
      <c r="AW76" s="189"/>
      <c r="AX76" s="189"/>
      <c r="AY76" s="189"/>
      <c r="AZ76" s="189"/>
      <c r="BA76" s="189"/>
      <c r="BB76" s="576">
        <f>+BB72*BB75/100</f>
        <v>4676.9245239944694</v>
      </c>
      <c r="BC76" s="189"/>
      <c r="BD76" s="190"/>
      <c r="BE76" s="190"/>
      <c r="BF76" s="190"/>
      <c r="BG76" s="576">
        <f>+BG72*BG75/100</f>
        <v>1380.7595417259442</v>
      </c>
      <c r="BH76" s="189"/>
      <c r="BI76" s="189"/>
      <c r="BJ76" s="189"/>
      <c r="BK76" s="189"/>
      <c r="BL76" s="576">
        <f>+BL72*BL75/100</f>
        <v>936.48268253197011</v>
      </c>
      <c r="BM76" s="189"/>
      <c r="BN76" s="189"/>
      <c r="BO76" s="189"/>
    </row>
    <row r="77" spans="2:69" s="179" customFormat="1" x14ac:dyDescent="0.2">
      <c r="B77" s="176" t="s">
        <v>710</v>
      </c>
      <c r="C77" s="177"/>
      <c r="D77" s="178"/>
      <c r="E77" s="178"/>
      <c r="F77" s="178"/>
      <c r="G77" s="178"/>
      <c r="H77" s="178"/>
      <c r="I77" s="178"/>
      <c r="J77" s="178"/>
      <c r="K77" s="178"/>
      <c r="L77" s="178"/>
      <c r="M77" s="178"/>
      <c r="R77" s="178"/>
      <c r="W77" s="178"/>
      <c r="AB77" s="178"/>
      <c r="AG77" s="178"/>
      <c r="AL77" s="178"/>
      <c r="AM77" s="182"/>
      <c r="AN77" s="182"/>
      <c r="AO77" s="182"/>
      <c r="AP77" s="182"/>
      <c r="AQ77" s="178"/>
      <c r="AS77" s="182"/>
      <c r="AT77" s="182"/>
      <c r="AU77" s="182"/>
      <c r="AV77" s="182"/>
      <c r="AW77" s="178"/>
      <c r="AX77" s="182"/>
      <c r="AY77" s="182"/>
      <c r="AZ77" s="182"/>
      <c r="BA77" s="182"/>
      <c r="BB77" s="178"/>
      <c r="BC77" s="182"/>
      <c r="BD77" s="183"/>
      <c r="BE77" s="183"/>
      <c r="BF77" s="183"/>
      <c r="BG77" s="194"/>
      <c r="BH77" s="182"/>
      <c r="BI77" s="182"/>
      <c r="BJ77" s="182"/>
      <c r="BK77" s="182"/>
      <c r="BL77" s="194"/>
      <c r="BM77" s="182"/>
      <c r="BN77" s="182"/>
      <c r="BO77" s="182"/>
    </row>
    <row r="78" spans="2:69" s="179" customFormat="1" x14ac:dyDescent="0.2">
      <c r="B78" s="185" t="s">
        <v>699</v>
      </c>
      <c r="C78" s="177" t="s">
        <v>700</v>
      </c>
      <c r="D78" s="186"/>
      <c r="E78" s="186"/>
      <c r="F78" s="186"/>
      <c r="G78" s="186"/>
      <c r="H78" s="186"/>
      <c r="I78" s="186">
        <v>12468.343192</v>
      </c>
      <c r="J78" s="186">
        <v>11938.14582</v>
      </c>
      <c r="K78" s="186">
        <v>12004.144033999999</v>
      </c>
      <c r="L78" s="186">
        <v>11799.951351</v>
      </c>
      <c r="M78" s="186">
        <f>SUM(I78:L78)</f>
        <v>48210.584396999999</v>
      </c>
      <c r="N78" s="182">
        <v>11235.333497</v>
      </c>
      <c r="O78" s="182">
        <v>10551.0452</v>
      </c>
      <c r="P78" s="182">
        <v>11281.646377000001</v>
      </c>
      <c r="Q78" s="182">
        <v>11095.482121000001</v>
      </c>
      <c r="R78" s="186">
        <v>44163.507195000006</v>
      </c>
      <c r="S78" s="182">
        <v>10844.875055</v>
      </c>
      <c r="T78" s="182">
        <v>10283.032273000001</v>
      </c>
      <c r="U78" s="182">
        <v>11035.028442000001</v>
      </c>
      <c r="V78" s="182">
        <v>11397.60097</v>
      </c>
      <c r="W78" s="186">
        <v>43560.536740000003</v>
      </c>
      <c r="X78" s="182">
        <v>10948.034172</v>
      </c>
      <c r="Y78" s="182">
        <v>10232.376842</v>
      </c>
      <c r="Z78" s="182">
        <v>10976.899095000001</v>
      </c>
      <c r="AA78" s="182">
        <v>10321.186094999999</v>
      </c>
      <c r="AB78" s="182">
        <v>42478.496203000002</v>
      </c>
      <c r="AC78" s="182">
        <v>10031.614170999999</v>
      </c>
      <c r="AD78" s="182">
        <v>8829.1387709999999</v>
      </c>
      <c r="AE78" s="182">
        <v>9523.7290260000009</v>
      </c>
      <c r="AF78" s="182">
        <v>9194.2492100000018</v>
      </c>
      <c r="AG78" s="182">
        <v>37578.731178000002</v>
      </c>
      <c r="AH78" s="182">
        <v>9076.9030870000006</v>
      </c>
      <c r="AI78" s="182">
        <v>8484.3699309999993</v>
      </c>
      <c r="AJ78" s="182">
        <v>9375.7459439999966</v>
      </c>
      <c r="AK78" s="182">
        <v>9274.316979999996</v>
      </c>
      <c r="AL78" s="182">
        <v>36211.335941999991</v>
      </c>
      <c r="AM78" s="182">
        <v>9249.0853019999977</v>
      </c>
      <c r="AN78" s="182">
        <v>9000.5013199999958</v>
      </c>
      <c r="AO78" s="182">
        <v>9611.2366379999967</v>
      </c>
      <c r="AP78" s="182">
        <v>9680.3989149999961</v>
      </c>
      <c r="AQ78" s="182">
        <v>37541.222174999988</v>
      </c>
      <c r="AS78" s="182">
        <v>9249.0853019999977</v>
      </c>
      <c r="AT78" s="182">
        <v>9000.5013199999958</v>
      </c>
      <c r="AU78" s="182">
        <v>9611.2366379999967</v>
      </c>
      <c r="AV78" s="182">
        <v>9680.3989149999961</v>
      </c>
      <c r="AW78" s="187">
        <f>SUM(AS78:AV78)</f>
        <v>37541.222174999988</v>
      </c>
      <c r="AX78" s="182">
        <v>9383.4194919999973</v>
      </c>
      <c r="AY78" s="182">
        <v>9114.819082999993</v>
      </c>
      <c r="AZ78" s="182">
        <v>10548.472523999995</v>
      </c>
      <c r="BA78" s="182">
        <v>11395.634648999996</v>
      </c>
      <c r="BB78" s="187">
        <f t="shared" ref="BB78:BB79" si="72">SUM(AX78:BA78)</f>
        <v>40442.345747999978</v>
      </c>
      <c r="BC78" s="182">
        <v>10553.072852000001</v>
      </c>
      <c r="BD78" s="183">
        <v>889.50342999999998</v>
      </c>
      <c r="BE78" s="183">
        <v>3188.1652829999998</v>
      </c>
      <c r="BF78" s="183">
        <v>6203.7190150000006</v>
      </c>
      <c r="BG78" s="188">
        <f>SUM(BC78:BF78)</f>
        <v>20834.460580000003</v>
      </c>
      <c r="BH78" s="182">
        <v>6332.4508699999997</v>
      </c>
      <c r="BI78" s="182">
        <v>4583.6528340000004</v>
      </c>
      <c r="BJ78" s="182">
        <v>8296.4283490000034</v>
      </c>
      <c r="BK78" s="182">
        <v>10114.297327000002</v>
      </c>
      <c r="BL78" s="188">
        <f>SUM(BH78:BK78)</f>
        <v>29326.829380000003</v>
      </c>
      <c r="BM78" s="182">
        <v>9451.2163440000004</v>
      </c>
      <c r="BN78" s="182">
        <v>9090.9705490000088</v>
      </c>
      <c r="BO78" s="182">
        <v>11180.332455</v>
      </c>
    </row>
    <row r="79" spans="2:69" s="179" customFormat="1" x14ac:dyDescent="0.2">
      <c r="B79" s="185" t="s">
        <v>701</v>
      </c>
      <c r="C79" s="177" t="s">
        <v>700</v>
      </c>
      <c r="D79" s="186"/>
      <c r="E79" s="186"/>
      <c r="F79" s="186"/>
      <c r="G79" s="186"/>
      <c r="H79" s="186"/>
      <c r="I79" s="186">
        <v>8501.7574129999994</v>
      </c>
      <c r="J79" s="186">
        <v>8214.7956630000008</v>
      </c>
      <c r="K79" s="186">
        <v>9366.4652559999995</v>
      </c>
      <c r="L79" s="186">
        <v>9399.6921449999991</v>
      </c>
      <c r="M79" s="186">
        <f>SUM(I79:L79)</f>
        <v>35482.710477000001</v>
      </c>
      <c r="N79" s="182">
        <v>8789.9575759999989</v>
      </c>
      <c r="O79" s="182">
        <v>8206.0024229999999</v>
      </c>
      <c r="P79" s="182">
        <v>9204.5302929999998</v>
      </c>
      <c r="Q79" s="182">
        <v>8992.7342929999995</v>
      </c>
      <c r="R79" s="186">
        <v>35193.224584999996</v>
      </c>
      <c r="S79" s="182">
        <v>8851.3365159999994</v>
      </c>
      <c r="T79" s="182">
        <v>8291.8084490000001</v>
      </c>
      <c r="U79" s="182">
        <v>8982.9298400000007</v>
      </c>
      <c r="V79" s="182">
        <v>9463.6096260000013</v>
      </c>
      <c r="W79" s="186">
        <v>35589.684431000001</v>
      </c>
      <c r="X79" s="182">
        <v>9082.5652310000005</v>
      </c>
      <c r="Y79" s="182">
        <v>8132.7798869999997</v>
      </c>
      <c r="Z79" s="182">
        <v>8990.4012759999987</v>
      </c>
      <c r="AA79" s="182">
        <v>8442.3159390000001</v>
      </c>
      <c r="AB79" s="182">
        <v>34648.062333000002</v>
      </c>
      <c r="AC79" s="182">
        <v>8275.1171130000002</v>
      </c>
      <c r="AD79" s="182">
        <v>7167.2114499999989</v>
      </c>
      <c r="AE79" s="182">
        <v>7849.4984839999997</v>
      </c>
      <c r="AF79" s="182">
        <v>7648.7158259999997</v>
      </c>
      <c r="AG79" s="182">
        <v>30940.542872999999</v>
      </c>
      <c r="AH79" s="182">
        <v>7454.5253239999993</v>
      </c>
      <c r="AI79" s="182">
        <v>6780.4132449999997</v>
      </c>
      <c r="AJ79" s="182">
        <v>7851.982782000001</v>
      </c>
      <c r="AK79" s="182">
        <v>7853.6530480000001</v>
      </c>
      <c r="AL79" s="182">
        <v>29940.574398999997</v>
      </c>
      <c r="AM79" s="182">
        <v>7608.0802239999994</v>
      </c>
      <c r="AN79" s="182">
        <v>6948.1472160000012</v>
      </c>
      <c r="AO79" s="182">
        <v>7843.4953290000021</v>
      </c>
      <c r="AP79" s="182">
        <v>8091.8117960000009</v>
      </c>
      <c r="AQ79" s="182">
        <v>30491.534565000005</v>
      </c>
      <c r="AS79" s="182">
        <v>7608.0802239999994</v>
      </c>
      <c r="AT79" s="182">
        <v>6948.1472160000012</v>
      </c>
      <c r="AU79" s="182">
        <v>7843.4953290000021</v>
      </c>
      <c r="AV79" s="182">
        <v>8091.8117960000009</v>
      </c>
      <c r="AW79" s="187">
        <f>SUM(AS79:AV79)</f>
        <v>30491.534565000005</v>
      </c>
      <c r="AX79" s="182">
        <v>7704.3805769999999</v>
      </c>
      <c r="AY79" s="182">
        <v>7282.6887579999993</v>
      </c>
      <c r="AZ79" s="182">
        <v>8661.9828890000026</v>
      </c>
      <c r="BA79" s="182">
        <v>9713.9032769999994</v>
      </c>
      <c r="BB79" s="187">
        <f t="shared" si="72"/>
        <v>33362.955501000004</v>
      </c>
      <c r="BC79" s="182">
        <v>8559</v>
      </c>
      <c r="BD79" s="183">
        <v>541.20635500000003</v>
      </c>
      <c r="BE79" s="183">
        <v>2395.1331770000002</v>
      </c>
      <c r="BF79" s="183">
        <v>5166.3833440000008</v>
      </c>
      <c r="BG79" s="188">
        <f>SUM(BC79:BF79)</f>
        <v>16661.722876</v>
      </c>
      <c r="BH79" s="182">
        <v>4546.831733</v>
      </c>
      <c r="BI79" s="182">
        <v>3608.8883700000001</v>
      </c>
      <c r="BJ79" s="182">
        <v>6810.8476030000002</v>
      </c>
      <c r="BK79" s="182">
        <v>8489.702983000001</v>
      </c>
      <c r="BL79" s="188">
        <f>SUM(BH79:BK79)</f>
        <v>23456.270689000001</v>
      </c>
      <c r="BM79" s="182">
        <v>7732.8425080000043</v>
      </c>
      <c r="BN79" s="182">
        <v>6784.8443049999923</v>
      </c>
      <c r="BO79" s="182">
        <v>9120.7260560000013</v>
      </c>
    </row>
    <row r="80" spans="2:69" s="179" customFormat="1" x14ac:dyDescent="0.2">
      <c r="B80" s="185" t="s">
        <v>702</v>
      </c>
      <c r="C80" s="177" t="s">
        <v>688</v>
      </c>
      <c r="D80" s="178"/>
      <c r="E80" s="178"/>
      <c r="F80" s="178"/>
      <c r="G80" s="178"/>
      <c r="H80" s="178"/>
      <c r="I80" s="189">
        <f t="shared" ref="I80:X80" si="73">I79/I78</f>
        <v>0.68186745280278604</v>
      </c>
      <c r="J80" s="189">
        <f t="shared" si="73"/>
        <v>0.6881131950355085</v>
      </c>
      <c r="K80" s="189">
        <f t="shared" si="73"/>
        <v>0.78026931611873729</v>
      </c>
      <c r="L80" s="189">
        <f t="shared" si="73"/>
        <v>0.79658736425243071</v>
      </c>
      <c r="M80" s="189">
        <f t="shared" si="73"/>
        <v>0.73599419963073465</v>
      </c>
      <c r="N80" s="189">
        <f t="shared" si="73"/>
        <v>0.78234950287386196</v>
      </c>
      <c r="O80" s="189">
        <f t="shared" si="73"/>
        <v>0.7777430830265043</v>
      </c>
      <c r="P80" s="189">
        <f t="shared" si="73"/>
        <v>0.81588537571655873</v>
      </c>
      <c r="Q80" s="189">
        <f t="shared" si="73"/>
        <v>0.81048612353489269</v>
      </c>
      <c r="R80" s="189">
        <f t="shared" si="73"/>
        <v>0.79688473176750818</v>
      </c>
      <c r="S80" s="189">
        <f t="shared" si="73"/>
        <v>0.81617690117315966</v>
      </c>
      <c r="T80" s="189">
        <f t="shared" si="73"/>
        <v>0.80635830257692309</v>
      </c>
      <c r="U80" s="189">
        <f t="shared" si="73"/>
        <v>0.81403776050185916</v>
      </c>
      <c r="V80" s="189">
        <f t="shared" si="73"/>
        <v>0.8303159279667256</v>
      </c>
      <c r="W80" s="189">
        <f t="shared" si="73"/>
        <v>0.81701666449668264</v>
      </c>
      <c r="X80" s="189">
        <f t="shared" si="73"/>
        <v>0.82960694936712887</v>
      </c>
      <c r="Y80" s="189">
        <v>0.79480848023677586</v>
      </c>
      <c r="Z80" s="189">
        <v>0.81899999999999995</v>
      </c>
      <c r="AA80" s="189">
        <v>0.81795986055224801</v>
      </c>
      <c r="AB80" s="189">
        <f t="shared" ref="AB80:AK80" si="74">AB79/AB78</f>
        <v>0.81566122697519161</v>
      </c>
      <c r="AC80" s="189">
        <f t="shared" si="74"/>
        <v>0.82490384617484713</v>
      </c>
      <c r="AD80" s="189">
        <f t="shared" si="74"/>
        <v>0.81176790125230203</v>
      </c>
      <c r="AE80" s="189">
        <f t="shared" si="74"/>
        <v>0.82420430721733962</v>
      </c>
      <c r="AF80" s="189">
        <f t="shared" si="74"/>
        <v>0.83190216528838223</v>
      </c>
      <c r="AG80" s="189">
        <f t="shared" si="74"/>
        <v>0.82335251625296368</v>
      </c>
      <c r="AH80" s="189">
        <f t="shared" si="74"/>
        <v>0.82126307315943681</v>
      </c>
      <c r="AI80" s="189">
        <f t="shared" si="74"/>
        <v>0.79916520615465847</v>
      </c>
      <c r="AJ80" s="189">
        <f t="shared" si="74"/>
        <v>0.83747819415103419</v>
      </c>
      <c r="AK80" s="189">
        <f t="shared" si="74"/>
        <v>0.84681740606196143</v>
      </c>
      <c r="AL80" s="189">
        <v>0.82682877116039222</v>
      </c>
      <c r="AM80" s="189">
        <v>0.82257650087353484</v>
      </c>
      <c r="AN80" s="189">
        <v>0.77197335670186917</v>
      </c>
      <c r="AO80" s="189">
        <v>0.81607556076490029</v>
      </c>
      <c r="AP80" s="189">
        <v>0.83589652317546093</v>
      </c>
      <c r="AQ80" s="189">
        <v>0.81221475483303218</v>
      </c>
      <c r="AS80" s="189">
        <f t="shared" ref="AS80:BB80" si="75">AS79/AS78</f>
        <v>0.82257650087353484</v>
      </c>
      <c r="AT80" s="189">
        <f t="shared" si="75"/>
        <v>0.77197335670186917</v>
      </c>
      <c r="AU80" s="189">
        <f t="shared" si="75"/>
        <v>0.81607556076490029</v>
      </c>
      <c r="AV80" s="189">
        <f t="shared" si="75"/>
        <v>0.83589652317546093</v>
      </c>
      <c r="AW80" s="189">
        <f t="shared" si="75"/>
        <v>0.81221475483303218</v>
      </c>
      <c r="AX80" s="189">
        <f t="shared" si="75"/>
        <v>0.8210632151283983</v>
      </c>
      <c r="AY80" s="189">
        <f t="shared" si="75"/>
        <v>0.79899432909018553</v>
      </c>
      <c r="AZ80" s="189">
        <f t="shared" si="75"/>
        <v>0.82115992332464893</v>
      </c>
      <c r="BA80" s="189">
        <f t="shared" si="75"/>
        <v>0.85242319328414284</v>
      </c>
      <c r="BB80" s="189">
        <f t="shared" si="75"/>
        <v>0.82495104781724793</v>
      </c>
      <c r="BC80" s="189">
        <f>BC79/BC78</f>
        <v>0.81104339181908636</v>
      </c>
      <c r="BD80" s="190">
        <f t="shared" ref="BD80:BO80" si="76">BD79/BD78</f>
        <v>0.60843650147588535</v>
      </c>
      <c r="BE80" s="190">
        <f t="shared" si="76"/>
        <v>0.75125753039573517</v>
      </c>
      <c r="BF80" s="190">
        <f t="shared" si="76"/>
        <v>0.83278809557753641</v>
      </c>
      <c r="BG80" s="190">
        <f t="shared" si="76"/>
        <v>0.79971942695720122</v>
      </c>
      <c r="BH80" s="189">
        <f t="shared" si="76"/>
        <v>0.71802084632675567</v>
      </c>
      <c r="BI80" s="189">
        <f t="shared" si="76"/>
        <v>0.78733894138545479</v>
      </c>
      <c r="BJ80" s="189">
        <f t="shared" si="76"/>
        <v>0.82093731380455237</v>
      </c>
      <c r="BK80" s="189">
        <f t="shared" si="76"/>
        <v>0.83937644984361248</v>
      </c>
      <c r="BL80" s="190">
        <f t="shared" si="76"/>
        <v>0.79982293295559792</v>
      </c>
      <c r="BM80" s="189">
        <f t="shared" si="76"/>
        <v>0.81818490092115115</v>
      </c>
      <c r="BN80" s="189">
        <f t="shared" si="76"/>
        <v>0.74632782808281273</v>
      </c>
      <c r="BO80" s="189">
        <f t="shared" si="76"/>
        <v>0.81578308093343732</v>
      </c>
      <c r="BQ80" s="195"/>
    </row>
    <row r="81" spans="1:75" s="179" customFormat="1" x14ac:dyDescent="0.2">
      <c r="B81" s="185" t="s">
        <v>708</v>
      </c>
      <c r="C81" s="177" t="s">
        <v>707</v>
      </c>
      <c r="D81" s="186"/>
      <c r="E81" s="186"/>
      <c r="F81" s="186"/>
      <c r="G81" s="186"/>
      <c r="H81" s="186"/>
      <c r="I81" s="191">
        <v>9.012929291642271</v>
      </c>
      <c r="J81" s="191">
        <v>8.3245836496036247</v>
      </c>
      <c r="K81" s="191">
        <v>8.6847071839655996</v>
      </c>
      <c r="L81" s="191">
        <v>9.2493593231076332</v>
      </c>
      <c r="M81" s="192">
        <v>8.8186206485740719</v>
      </c>
      <c r="N81" s="191">
        <v>8.9661137658167416</v>
      </c>
      <c r="O81" s="191">
        <v>8.8875796236436582</v>
      </c>
      <c r="P81" s="191">
        <v>9.4311046065130775</v>
      </c>
      <c r="Q81" s="191">
        <v>9.4469071077341589</v>
      </c>
      <c r="R81" s="192">
        <v>9.186926819353241</v>
      </c>
      <c r="S81" s="191">
        <v>8.7829414858738666</v>
      </c>
      <c r="T81" s="191">
        <v>9.0998867648368265</v>
      </c>
      <c r="U81" s="191">
        <v>8.3427816110401007</v>
      </c>
      <c r="V81" s="191">
        <v>8.1720425429419166</v>
      </c>
      <c r="W81" s="192">
        <v>8.5973512688907139</v>
      </c>
      <c r="X81" s="191">
        <v>7.0668208863289941</v>
      </c>
      <c r="Y81" s="191">
        <v>5.9787887897652308</v>
      </c>
      <c r="Z81" s="191">
        <v>5.6621889035005308</v>
      </c>
      <c r="AA81" s="191">
        <v>5.0837865470442303</v>
      </c>
      <c r="AB81" s="192">
        <v>5.8545998394568004</v>
      </c>
      <c r="AC81" s="191">
        <v>5.0457617003783692</v>
      </c>
      <c r="AD81" s="191">
        <v>5.3720641928546771</v>
      </c>
      <c r="AE81" s="191">
        <v>6.1509334230808559</v>
      </c>
      <c r="AF81" s="191">
        <v>6.8507599654487779</v>
      </c>
      <c r="AG81" s="192">
        <v>5.8441369763337159</v>
      </c>
      <c r="AH81" s="191">
        <v>6.2856921706681099</v>
      </c>
      <c r="AI81" s="191">
        <v>6.2465360406429831</v>
      </c>
      <c r="AJ81" s="191">
        <v>6.5833428112896577</v>
      </c>
      <c r="AK81" s="191">
        <v>7.1226875924995641</v>
      </c>
      <c r="AL81" s="192">
        <v>6.5679530230040148</v>
      </c>
      <c r="AM81" s="192">
        <v>6.666032620128818</v>
      </c>
      <c r="AN81" s="192">
        <v>5.6425582752198329</v>
      </c>
      <c r="AO81" s="192">
        <v>5.950189850941304</v>
      </c>
      <c r="AP81" s="192">
        <v>6.68204023365828</v>
      </c>
      <c r="AQ81" s="192">
        <v>6.2352052449870587</v>
      </c>
      <c r="AS81" s="192">
        <v>6.666032620128818</v>
      </c>
      <c r="AT81" s="192">
        <v>5.6425582752198329</v>
      </c>
      <c r="AU81" s="192">
        <v>5.950189850941304</v>
      </c>
      <c r="AV81" s="192">
        <v>6.68204023365828</v>
      </c>
      <c r="AW81" s="192">
        <v>6.2352052449870587</v>
      </c>
      <c r="AX81" s="192">
        <v>6.1993268340999395</v>
      </c>
      <c r="AY81" s="192">
        <v>6.7691585149065387</v>
      </c>
      <c r="AZ81" s="192">
        <v>7.4175306422356702</v>
      </c>
      <c r="BA81" s="192">
        <v>7.0725251421544604</v>
      </c>
      <c r="BB81" s="192">
        <v>6.864635283349152</v>
      </c>
      <c r="BC81" s="192">
        <v>6.046491153252866</v>
      </c>
      <c r="BD81" s="193">
        <v>4.9547315162337258</v>
      </c>
      <c r="BE81" s="193">
        <v>3.0524049701672902</v>
      </c>
      <c r="BF81" s="193">
        <v>4.0045942856599535</v>
      </c>
      <c r="BG81" s="193">
        <v>4.9337136037588252</v>
      </c>
      <c r="BH81" s="193">
        <v>3.6010335672824572</v>
      </c>
      <c r="BI81" s="193">
        <v>4.2484752471301572</v>
      </c>
      <c r="BJ81" s="193">
        <v>5.0142945774362389</v>
      </c>
      <c r="BK81" s="193">
        <v>5.7132105752435516</v>
      </c>
      <c r="BL81" s="193">
        <v>4.8304829700269831</v>
      </c>
      <c r="BM81" s="193">
        <v>5.8436496636531734</v>
      </c>
      <c r="BN81" s="193">
        <v>7.0758471063648809</v>
      </c>
      <c r="BO81" s="193">
        <v>7.1368608749409503</v>
      </c>
    </row>
    <row r="82" spans="1:75" s="179" customFormat="1" x14ac:dyDescent="0.2">
      <c r="B82" s="185"/>
      <c r="C82" s="177"/>
      <c r="D82" s="178"/>
      <c r="E82" s="178"/>
      <c r="F82" s="178"/>
      <c r="G82" s="178"/>
      <c r="H82" s="178"/>
      <c r="I82" s="178"/>
      <c r="J82" s="178"/>
      <c r="K82" s="178"/>
      <c r="L82" s="178"/>
      <c r="M82" s="178"/>
      <c r="R82" s="178"/>
      <c r="W82" s="178"/>
      <c r="X82" s="189"/>
      <c r="Y82" s="189"/>
      <c r="Z82" s="189"/>
      <c r="AA82" s="189"/>
      <c r="AB82" s="189"/>
      <c r="AC82" s="189"/>
      <c r="AD82" s="189"/>
      <c r="AE82" s="189"/>
      <c r="AF82" s="189"/>
      <c r="AG82" s="189"/>
      <c r="AH82" s="189"/>
      <c r="AI82" s="189"/>
      <c r="AJ82" s="189"/>
      <c r="AK82" s="189"/>
      <c r="AL82" s="189"/>
      <c r="AM82" s="189"/>
      <c r="AN82" s="189"/>
      <c r="AO82" s="189"/>
      <c r="AP82" s="189"/>
      <c r="AQ82" s="189"/>
      <c r="AS82" s="189"/>
      <c r="AT82" s="189"/>
      <c r="AU82" s="189"/>
      <c r="AV82" s="189"/>
      <c r="AW82" s="189"/>
      <c r="AX82" s="189"/>
      <c r="AY82" s="189"/>
      <c r="AZ82" s="189"/>
      <c r="BA82" s="189"/>
      <c r="BB82" s="576">
        <f>+BB78*BB81/100</f>
        <v>2776.2195356312623</v>
      </c>
      <c r="BC82" s="189"/>
      <c r="BD82" s="190"/>
      <c r="BE82" s="190"/>
      <c r="BF82" s="190"/>
      <c r="BG82" s="576">
        <f>+BG78*BG81/100</f>
        <v>1027.9126159052298</v>
      </c>
      <c r="BH82" s="189"/>
      <c r="BI82" s="189"/>
      <c r="BJ82" s="189"/>
      <c r="BK82" s="189"/>
      <c r="BL82" s="576">
        <f>+BL78*BL81/100</f>
        <v>1416.6274988497701</v>
      </c>
      <c r="BM82" s="189"/>
      <c r="BN82" s="189"/>
      <c r="BO82" s="189"/>
    </row>
    <row r="83" spans="1:75" s="179" customFormat="1" x14ac:dyDescent="0.2">
      <c r="B83" s="176" t="s">
        <v>7</v>
      </c>
      <c r="C83" s="177"/>
      <c r="D83" s="178"/>
      <c r="E83" s="178"/>
      <c r="F83" s="178"/>
      <c r="G83" s="178"/>
      <c r="H83" s="178"/>
      <c r="I83" s="178"/>
      <c r="J83" s="178"/>
      <c r="K83" s="178"/>
      <c r="L83" s="178"/>
      <c r="M83" s="178"/>
      <c r="R83" s="178"/>
      <c r="W83" s="178"/>
      <c r="AB83" s="178"/>
      <c r="AG83" s="178"/>
      <c r="AL83" s="178"/>
      <c r="AM83" s="182"/>
      <c r="AN83" s="182"/>
      <c r="AO83" s="182"/>
      <c r="AP83" s="182"/>
      <c r="AQ83" s="178"/>
      <c r="AS83" s="182"/>
      <c r="AT83" s="182"/>
      <c r="AU83" s="182"/>
      <c r="AV83" s="182"/>
      <c r="AW83" s="178"/>
      <c r="AX83" s="182"/>
      <c r="AY83" s="182"/>
      <c r="AZ83" s="182"/>
      <c r="BA83" s="182"/>
      <c r="BB83" s="178"/>
      <c r="BC83" s="182"/>
      <c r="BD83" s="183"/>
      <c r="BE83" s="183"/>
      <c r="BF83" s="183"/>
      <c r="BG83" s="194"/>
      <c r="BH83" s="182"/>
      <c r="BI83" s="182"/>
      <c r="BJ83" s="182"/>
      <c r="BK83" s="182"/>
      <c r="BL83" s="194"/>
      <c r="BM83" s="182"/>
      <c r="BN83" s="182"/>
      <c r="BO83" s="182"/>
    </row>
    <row r="84" spans="1:75" s="179" customFormat="1" x14ac:dyDescent="0.2">
      <c r="B84" s="185" t="s">
        <v>699</v>
      </c>
      <c r="C84" s="177" t="s">
        <v>700</v>
      </c>
      <c r="D84" s="186"/>
      <c r="E84" s="186"/>
      <c r="F84" s="186"/>
      <c r="G84" s="186"/>
      <c r="H84" s="186"/>
      <c r="I84" s="186">
        <v>4633.8042399999995</v>
      </c>
      <c r="J84" s="186">
        <v>4095.9943770000004</v>
      </c>
      <c r="K84" s="186">
        <v>4611.610733999998</v>
      </c>
      <c r="L84" s="186">
        <v>5006.1769359999971</v>
      </c>
      <c r="M84" s="186">
        <f>SUM(I84:L84)</f>
        <v>18347.586286999995</v>
      </c>
      <c r="N84" s="182">
        <v>5129.4025390000006</v>
      </c>
      <c r="O84" s="182">
        <v>4722.8931459999994</v>
      </c>
      <c r="P84" s="182">
        <v>5200.4788140000001</v>
      </c>
      <c r="Q84" s="182">
        <v>5312.2452469999998</v>
      </c>
      <c r="R84" s="186">
        <v>20365.019746000002</v>
      </c>
      <c r="S84" s="182">
        <v>5415.0060079999994</v>
      </c>
      <c r="T84" s="182">
        <v>4749.7536899999996</v>
      </c>
      <c r="U84" s="182">
        <v>5342.93714</v>
      </c>
      <c r="V84" s="182">
        <v>5602.6102839999994</v>
      </c>
      <c r="W84" s="186">
        <v>21110.307121999998</v>
      </c>
      <c r="X84" s="182">
        <v>5594.6946879999996</v>
      </c>
      <c r="Y84" s="182">
        <v>4945.2026730000007</v>
      </c>
      <c r="Z84" s="182">
        <v>5632.5801350000002</v>
      </c>
      <c r="AA84" s="182">
        <v>5900.3044470000004</v>
      </c>
      <c r="AB84" s="186">
        <v>22072.781943000002</v>
      </c>
      <c r="AC84" s="182">
        <v>6006.2651660000001</v>
      </c>
      <c r="AD84" s="182">
        <v>5300.8086229999999</v>
      </c>
      <c r="AE84" s="182">
        <v>6205.4623889999993</v>
      </c>
      <c r="AF84" s="182">
        <v>6334.523373</v>
      </c>
      <c r="AG84" s="186">
        <v>23847.059550999998</v>
      </c>
      <c r="AH84" s="182">
        <v>6133.7837569999992</v>
      </c>
      <c r="AI84" s="182">
        <v>5187.6018629999999</v>
      </c>
      <c r="AJ84" s="182">
        <v>6178.7510970000094</v>
      </c>
      <c r="AK84" s="182">
        <v>6320.844123000008</v>
      </c>
      <c r="AL84" s="186">
        <v>23820.980840000018</v>
      </c>
      <c r="AM84" s="186">
        <v>6305.5563790000051</v>
      </c>
      <c r="AN84" s="186">
        <v>5187.6581360000037</v>
      </c>
      <c r="AO84" s="186">
        <v>6402.0254220000052</v>
      </c>
      <c r="AP84" s="186">
        <v>6768.7721410000067</v>
      </c>
      <c r="AQ84" s="186">
        <v>24664.012078000022</v>
      </c>
      <c r="AS84" s="182">
        <v>6305.5563790000051</v>
      </c>
      <c r="AT84" s="182">
        <v>5187.6581360000037</v>
      </c>
      <c r="AU84" s="182">
        <v>6402.0254220000052</v>
      </c>
      <c r="AV84" s="182">
        <v>6768.7721410000067</v>
      </c>
      <c r="AW84" s="196">
        <f>SUM(AS84:AV84)</f>
        <v>24664.012078000022</v>
      </c>
      <c r="AX84" s="182">
        <v>6910.4846300000081</v>
      </c>
      <c r="AY84" s="182">
        <v>6037.857322000008</v>
      </c>
      <c r="AZ84" s="182">
        <v>7012.7691240000104</v>
      </c>
      <c r="BA84" s="182">
        <v>7376.102998000013</v>
      </c>
      <c r="BB84" s="196">
        <f>SUM(AX84:BA84)</f>
        <v>27337.21407400004</v>
      </c>
      <c r="BC84" s="182">
        <v>6926.0762990000085</v>
      </c>
      <c r="BD84" s="183">
        <v>372.10054600000001</v>
      </c>
      <c r="BE84" s="183">
        <v>813.86464699999999</v>
      </c>
      <c r="BF84" s="183">
        <v>2858.1807020000006</v>
      </c>
      <c r="BG84" s="197">
        <f>SUM(BC84:BF84)</f>
        <v>10970.222194000009</v>
      </c>
      <c r="BH84" s="182">
        <v>3234.492663</v>
      </c>
      <c r="BI84" s="182">
        <v>3374.8449030000002</v>
      </c>
      <c r="BJ84" s="182">
        <v>5064.1986269999989</v>
      </c>
      <c r="BK84" s="182">
        <v>6174.2812659999963</v>
      </c>
      <c r="BL84" s="197">
        <f>SUM(BH84:BK84)</f>
        <v>17847.817458999998</v>
      </c>
      <c r="BM84" s="182">
        <v>6006.5886959999989</v>
      </c>
      <c r="BN84" s="182">
        <v>5521.0861640000094</v>
      </c>
      <c r="BO84" s="182">
        <v>5848.3208979999999</v>
      </c>
    </row>
    <row r="85" spans="1:75" s="179" customFormat="1" x14ac:dyDescent="0.2">
      <c r="B85" s="185" t="s">
        <v>701</v>
      </c>
      <c r="C85" s="177" t="s">
        <v>700</v>
      </c>
      <c r="D85" s="186"/>
      <c r="E85" s="186"/>
      <c r="F85" s="186"/>
      <c r="G85" s="186"/>
      <c r="H85" s="186"/>
      <c r="I85" s="186">
        <v>3713.1479780000013</v>
      </c>
      <c r="J85" s="186">
        <v>3137.2844329999998</v>
      </c>
      <c r="K85" s="186">
        <v>3679.8693000000007</v>
      </c>
      <c r="L85" s="186">
        <v>3915.7267919999986</v>
      </c>
      <c r="M85" s="186">
        <f>SUM(I85:L85)</f>
        <v>14446.028503000001</v>
      </c>
      <c r="N85" s="182">
        <v>4139.882818</v>
      </c>
      <c r="O85" s="182">
        <v>3531.827099000001</v>
      </c>
      <c r="P85" s="182">
        <v>4063.7936989999998</v>
      </c>
      <c r="Q85" s="182">
        <v>4263.4701439999999</v>
      </c>
      <c r="R85" s="186">
        <v>15998.973760000001</v>
      </c>
      <c r="S85" s="182">
        <v>4423.5089860000007</v>
      </c>
      <c r="T85" s="182">
        <v>3660.6753120000003</v>
      </c>
      <c r="U85" s="182">
        <v>4354.6082180000003</v>
      </c>
      <c r="V85" s="182">
        <v>4554.4908079999996</v>
      </c>
      <c r="W85" s="186">
        <v>16993.283324</v>
      </c>
      <c r="X85" s="182">
        <v>4611.0157399999998</v>
      </c>
      <c r="Y85" s="182">
        <v>3853.7191560000001</v>
      </c>
      <c r="Z85" s="182">
        <v>4582.2118710000004</v>
      </c>
      <c r="AA85" s="182">
        <v>4811.4769960000003</v>
      </c>
      <c r="AB85" s="186">
        <v>17858.423762999999</v>
      </c>
      <c r="AC85" s="182">
        <v>5029.6911119999995</v>
      </c>
      <c r="AD85" s="182">
        <v>4179.0216349999992</v>
      </c>
      <c r="AE85" s="182">
        <v>4942.0582690000001</v>
      </c>
      <c r="AF85" s="182">
        <v>5142.9772979999998</v>
      </c>
      <c r="AG85" s="186">
        <v>19293.748313999997</v>
      </c>
      <c r="AH85" s="182">
        <v>5036.151218</v>
      </c>
      <c r="AI85" s="182">
        <v>4118.8629760000003</v>
      </c>
      <c r="AJ85" s="182">
        <v>5049.53514</v>
      </c>
      <c r="AK85" s="182">
        <v>5203.3314799999998</v>
      </c>
      <c r="AL85" s="186">
        <v>19407.880814</v>
      </c>
      <c r="AM85" s="186">
        <v>5273.6003840000003</v>
      </c>
      <c r="AN85" s="186">
        <v>4165.2493369999993</v>
      </c>
      <c r="AO85" s="186">
        <v>5214.0336539999989</v>
      </c>
      <c r="AP85" s="186">
        <v>5567.7070889999986</v>
      </c>
      <c r="AQ85" s="186">
        <v>20220.590463999997</v>
      </c>
      <c r="AS85" s="182">
        <v>5273.6003840000003</v>
      </c>
      <c r="AT85" s="182">
        <v>4165.2493369999993</v>
      </c>
      <c r="AU85" s="182">
        <v>5214.0336539999989</v>
      </c>
      <c r="AV85" s="182">
        <v>5567.7070889999986</v>
      </c>
      <c r="AW85" s="196">
        <f>SUM(AS85:AV85)</f>
        <v>20220.590463999997</v>
      </c>
      <c r="AX85" s="182">
        <v>5816.2869299999993</v>
      </c>
      <c r="AY85" s="182">
        <v>4799.3795219999984</v>
      </c>
      <c r="AZ85" s="182">
        <v>5699.4886019999976</v>
      </c>
      <c r="BA85" s="182">
        <v>5777.5314009999984</v>
      </c>
      <c r="BB85" s="196">
        <f>SUM(AX85:BA85)</f>
        <v>22092.686454999995</v>
      </c>
      <c r="BC85" s="182">
        <v>5535</v>
      </c>
      <c r="BD85" s="183">
        <v>203.03274599999997</v>
      </c>
      <c r="BE85" s="183">
        <v>549.136529</v>
      </c>
      <c r="BF85" s="183">
        <v>2055.4021870000001</v>
      </c>
      <c r="BG85" s="197">
        <f>SUM(BC85:BF85)</f>
        <v>8342.5714619999999</v>
      </c>
      <c r="BH85" s="182">
        <v>2313.2593230000002</v>
      </c>
      <c r="BI85" s="182">
        <v>2323.4823589999996</v>
      </c>
      <c r="BJ85" s="182">
        <v>3965.2693080000004</v>
      </c>
      <c r="BK85" s="182">
        <v>4757.7639350000009</v>
      </c>
      <c r="BL85" s="197">
        <f>SUM(BH85:BK85)</f>
        <v>13359.774925000002</v>
      </c>
      <c r="BM85" s="182">
        <v>4870.3787730000004</v>
      </c>
      <c r="BN85" s="182">
        <v>4402.2336929999947</v>
      </c>
      <c r="BO85" s="182">
        <v>4773.9367460000012</v>
      </c>
    </row>
    <row r="86" spans="1:75" s="179" customFormat="1" x14ac:dyDescent="0.2">
      <c r="B86" s="185" t="s">
        <v>702</v>
      </c>
      <c r="C86" s="177" t="s">
        <v>688</v>
      </c>
      <c r="D86" s="178"/>
      <c r="E86" s="178"/>
      <c r="F86" s="178"/>
      <c r="G86" s="178"/>
      <c r="H86" s="178"/>
      <c r="I86" s="189">
        <f>I85/I84</f>
        <v>0.80131740265316032</v>
      </c>
      <c r="J86" s="189">
        <f>J85/J84</f>
        <v>0.7659396337594141</v>
      </c>
      <c r="K86" s="189">
        <f>K85/K84</f>
        <v>0.79795748432742764</v>
      </c>
      <c r="L86" s="189">
        <f>L85/L84</f>
        <v>0.7821790643957377</v>
      </c>
      <c r="M86" s="189">
        <f>M85/M84</f>
        <v>0.78735307615016348</v>
      </c>
      <c r="N86" s="189">
        <f t="shared" ref="N86:X86" si="77">N85/N84</f>
        <v>0.80708869824965779</v>
      </c>
      <c r="O86" s="189">
        <f t="shared" si="77"/>
        <v>0.74781007950417888</v>
      </c>
      <c r="P86" s="189">
        <f t="shared" si="77"/>
        <v>0.78142683478683239</v>
      </c>
      <c r="Q86" s="189">
        <f t="shared" si="77"/>
        <v>0.80257404275672739</v>
      </c>
      <c r="R86" s="189">
        <f t="shared" si="77"/>
        <v>0.78561052036998102</v>
      </c>
      <c r="S86" s="189">
        <f t="shared" si="77"/>
        <v>0.81689826003236476</v>
      </c>
      <c r="T86" s="189">
        <f t="shared" si="77"/>
        <v>0.77070845162078305</v>
      </c>
      <c r="U86" s="189">
        <f t="shared" si="77"/>
        <v>0.8150214205963876</v>
      </c>
      <c r="V86" s="189">
        <f t="shared" si="77"/>
        <v>0.81292300858526034</v>
      </c>
      <c r="W86" s="189">
        <f t="shared" si="77"/>
        <v>0.80497565600504872</v>
      </c>
      <c r="X86" s="189">
        <f t="shared" si="77"/>
        <v>0.82417647381011117</v>
      </c>
      <c r="Y86" s="189">
        <v>0.77928437130406758</v>
      </c>
      <c r="Z86" s="189">
        <v>0.81399999999999995</v>
      </c>
      <c r="AA86" s="189">
        <v>0.81546249676089</v>
      </c>
      <c r="AB86" s="189">
        <f t="shared" ref="AB86:AK86" si="78">AB85/AB84</f>
        <v>0.80906991285090313</v>
      </c>
      <c r="AC86" s="189">
        <f t="shared" si="78"/>
        <v>0.83740743590074118</v>
      </c>
      <c r="AD86" s="189">
        <f t="shared" si="78"/>
        <v>0.78837436553875739</v>
      </c>
      <c r="AE86" s="189">
        <f t="shared" si="78"/>
        <v>0.79640451576347482</v>
      </c>
      <c r="AF86" s="189">
        <f t="shared" si="78"/>
        <v>0.81189649089009686</v>
      </c>
      <c r="AG86" s="189">
        <f t="shared" si="78"/>
        <v>0.80906194211231108</v>
      </c>
      <c r="AH86" s="189">
        <f t="shared" si="78"/>
        <v>0.82105131473743942</v>
      </c>
      <c r="AI86" s="189">
        <f t="shared" si="78"/>
        <v>0.79398209129681629</v>
      </c>
      <c r="AJ86" s="189">
        <f t="shared" si="78"/>
        <v>0.81724203819307728</v>
      </c>
      <c r="AK86" s="189">
        <f t="shared" si="78"/>
        <v>0.82320199307974506</v>
      </c>
      <c r="AL86" s="189">
        <v>0.81473894565291904</v>
      </c>
      <c r="AM86" s="189">
        <v>0.83634180190080831</v>
      </c>
      <c r="AN86" s="189">
        <v>0.80291515512463141</v>
      </c>
      <c r="AO86" s="189">
        <v>0.81443501240754601</v>
      </c>
      <c r="AP86" s="189">
        <v>0.82255791346189933</v>
      </c>
      <c r="AQ86" s="189">
        <v>0.81984189758147663</v>
      </c>
      <c r="AS86" s="189">
        <f t="shared" ref="AS86:BB86" si="79">AS85/AS84</f>
        <v>0.83634180190080831</v>
      </c>
      <c r="AT86" s="189">
        <f t="shared" si="79"/>
        <v>0.80291515512463141</v>
      </c>
      <c r="AU86" s="189">
        <f t="shared" si="79"/>
        <v>0.81443501240754601</v>
      </c>
      <c r="AV86" s="189">
        <f t="shared" si="79"/>
        <v>0.82255791346189933</v>
      </c>
      <c r="AW86" s="189">
        <f t="shared" si="79"/>
        <v>0.81984189758147663</v>
      </c>
      <c r="AX86" s="189">
        <f t="shared" si="79"/>
        <v>0.84166122079921224</v>
      </c>
      <c r="AY86" s="189">
        <f t="shared" si="79"/>
        <v>0.79488124115033398</v>
      </c>
      <c r="AZ86" s="189">
        <f t="shared" si="79"/>
        <v>0.81273010721178118</v>
      </c>
      <c r="BA86" s="189">
        <f t="shared" si="79"/>
        <v>0.7832769421151714</v>
      </c>
      <c r="BB86" s="189">
        <f t="shared" si="79"/>
        <v>0.80815427626226088</v>
      </c>
      <c r="BC86" s="189">
        <f>BC85/BC84</f>
        <v>0.79915377207137428</v>
      </c>
      <c r="BD86" s="190">
        <f t="shared" ref="BD86:BO86" si="80">BD85/BD84</f>
        <v>0.54563947347714981</v>
      </c>
      <c r="BE86" s="190">
        <f t="shared" si="80"/>
        <v>0.67472709500797368</v>
      </c>
      <c r="BF86" s="190">
        <f t="shared" si="80"/>
        <v>0.71912954473513191</v>
      </c>
      <c r="BG86" s="190">
        <f t="shared" si="80"/>
        <v>0.76047424696309607</v>
      </c>
      <c r="BH86" s="189">
        <f t="shared" si="80"/>
        <v>0.71518459431422743</v>
      </c>
      <c r="BI86" s="189">
        <f t="shared" si="80"/>
        <v>0.68847085593017532</v>
      </c>
      <c r="BJ86" s="189">
        <f t="shared" si="80"/>
        <v>0.7830003520910479</v>
      </c>
      <c r="BK86" s="189">
        <f t="shared" si="80"/>
        <v>0.77057777740052891</v>
      </c>
      <c r="BL86" s="190">
        <f t="shared" si="80"/>
        <v>0.74853829918924675</v>
      </c>
      <c r="BM86" s="189">
        <f t="shared" si="80"/>
        <v>0.81083939978166952</v>
      </c>
      <c r="BN86" s="189">
        <f t="shared" si="80"/>
        <v>0.79734921032469275</v>
      </c>
      <c r="BO86" s="189">
        <f t="shared" si="80"/>
        <v>0.81629186039237089</v>
      </c>
    </row>
    <row r="87" spans="1:75" s="179" customFormat="1" x14ac:dyDescent="0.2">
      <c r="B87" s="185" t="s">
        <v>708</v>
      </c>
      <c r="C87" s="177" t="s">
        <v>707</v>
      </c>
      <c r="D87" s="186"/>
      <c r="E87" s="186"/>
      <c r="F87" s="186"/>
      <c r="G87" s="186"/>
      <c r="H87" s="186"/>
      <c r="I87" s="192">
        <v>9.6097112472515303</v>
      </c>
      <c r="J87" s="192">
        <v>10.304280255316643</v>
      </c>
      <c r="K87" s="192">
        <v>10.418943837025534</v>
      </c>
      <c r="L87" s="192">
        <v>10.34831282315127</v>
      </c>
      <c r="M87" s="192">
        <v>10.169696983915973</v>
      </c>
      <c r="N87" s="191">
        <v>9.5492708269389031</v>
      </c>
      <c r="O87" s="191">
        <v>9.2870126787533493</v>
      </c>
      <c r="P87" s="191">
        <v>9.6881353802080881</v>
      </c>
      <c r="Q87" s="191">
        <v>9.793202205955561</v>
      </c>
      <c r="R87" s="192">
        <v>9.5875407758630722</v>
      </c>
      <c r="S87" s="191">
        <v>9.0902524725533027</v>
      </c>
      <c r="T87" s="191">
        <v>8.9189941565810642</v>
      </c>
      <c r="U87" s="191">
        <v>9.1803472285934156</v>
      </c>
      <c r="V87" s="191">
        <v>9.1516922634755193</v>
      </c>
      <c r="W87" s="192">
        <v>9.0906275278887652</v>
      </c>
      <c r="X87" s="191">
        <v>8.7488837008825424</v>
      </c>
      <c r="Y87" s="191">
        <v>8.3045663680864852</v>
      </c>
      <c r="Z87" s="191">
        <v>8.1182903408457339</v>
      </c>
      <c r="AA87" s="191">
        <v>7.9516405860507602</v>
      </c>
      <c r="AB87" s="192">
        <v>8.2857371247977092</v>
      </c>
      <c r="AC87" s="191">
        <v>7.346651365948941</v>
      </c>
      <c r="AD87" s="191">
        <v>6.5415061608926388</v>
      </c>
      <c r="AE87" s="191">
        <v>6.6358055731512628</v>
      </c>
      <c r="AF87" s="191">
        <v>7.1946816269770144</v>
      </c>
      <c r="AG87" s="192">
        <v>6.9423372273357176</v>
      </c>
      <c r="AH87" s="191">
        <v>7.0218897414255999</v>
      </c>
      <c r="AI87" s="191">
        <v>7.2660837394360724</v>
      </c>
      <c r="AJ87" s="191">
        <v>7.1282333388691121</v>
      </c>
      <c r="AK87" s="191">
        <v>7.5877331659989959</v>
      </c>
      <c r="AL87" s="192">
        <v>7.2527979470983137</v>
      </c>
      <c r="AM87" s="192">
        <v>7.3003313735740942</v>
      </c>
      <c r="AN87" s="192">
        <v>7.0106953401308276</v>
      </c>
      <c r="AO87" s="192">
        <v>7.1437343201037677</v>
      </c>
      <c r="AP87" s="192">
        <v>6.8580839150531467</v>
      </c>
      <c r="AQ87" s="192">
        <v>7.0773934629870601</v>
      </c>
      <c r="AS87" s="192">
        <v>7.3003313735740942</v>
      </c>
      <c r="AT87" s="192">
        <v>7.0106953401308276</v>
      </c>
      <c r="AU87" s="192">
        <v>7.1437343201037677</v>
      </c>
      <c r="AV87" s="192">
        <v>6.8580839150531467</v>
      </c>
      <c r="AW87" s="192">
        <v>7.0773934629870601</v>
      </c>
      <c r="AX87" s="192">
        <v>6.5048307253157081</v>
      </c>
      <c r="AY87" s="192">
        <v>6.4701528681121019</v>
      </c>
      <c r="AZ87" s="192">
        <v>6.5206425247897455</v>
      </c>
      <c r="BA87" s="192">
        <v>6.6074710640534509</v>
      </c>
      <c r="BB87" s="192">
        <v>6.5289220703084627</v>
      </c>
      <c r="BC87" s="192">
        <v>6.1352101636888055</v>
      </c>
      <c r="BD87" s="193">
        <v>6.8714420903241562</v>
      </c>
      <c r="BE87" s="193">
        <v>11.814921364550401</v>
      </c>
      <c r="BF87" s="193">
        <v>4.8781123106047053</v>
      </c>
      <c r="BG87" s="193">
        <v>6.2540277779698643</v>
      </c>
      <c r="BH87" s="193">
        <v>4.9933047873619492</v>
      </c>
      <c r="BI87" s="193">
        <v>4.9388919322414857</v>
      </c>
      <c r="BJ87" s="193">
        <v>6.2603251454058748</v>
      </c>
      <c r="BK87" s="193">
        <v>6.3560702955601345</v>
      </c>
      <c r="BL87" s="193">
        <v>5.8139600518889427</v>
      </c>
      <c r="BM87" s="193">
        <v>6.6380308969101121</v>
      </c>
      <c r="BN87" s="193">
        <v>7.6124352027873936</v>
      </c>
      <c r="BO87" s="193">
        <v>8.0110668660237394</v>
      </c>
    </row>
    <row r="88" spans="1:75" s="198" customFormat="1" x14ac:dyDescent="0.2">
      <c r="B88" s="199"/>
      <c r="C88" s="200"/>
      <c r="D88" s="201"/>
      <c r="E88" s="201"/>
      <c r="F88" s="201"/>
      <c r="G88" s="201"/>
      <c r="H88" s="201"/>
      <c r="I88" s="202"/>
      <c r="J88" s="202"/>
      <c r="K88" s="202"/>
      <c r="L88" s="202"/>
      <c r="M88" s="202"/>
      <c r="N88" s="203"/>
      <c r="O88" s="203"/>
      <c r="P88" s="203"/>
      <c r="Q88" s="203"/>
      <c r="R88" s="202"/>
      <c r="S88" s="203"/>
      <c r="T88" s="203"/>
      <c r="U88" s="203"/>
      <c r="V88" s="203"/>
      <c r="W88" s="202"/>
      <c r="X88" s="203"/>
      <c r="Y88" s="203"/>
      <c r="Z88" s="203"/>
      <c r="AA88" s="203"/>
      <c r="AB88" s="202"/>
      <c r="AC88" s="203"/>
      <c r="AD88" s="203"/>
      <c r="AE88" s="203"/>
      <c r="AF88" s="203"/>
      <c r="AG88" s="202"/>
      <c r="AH88" s="203"/>
      <c r="AI88" s="203"/>
      <c r="AJ88" s="203"/>
      <c r="AK88" s="203"/>
      <c r="AL88" s="202"/>
      <c r="AM88" s="202"/>
      <c r="AN88" s="202"/>
      <c r="AO88" s="202"/>
      <c r="AP88" s="202"/>
      <c r="AQ88" s="202"/>
      <c r="AS88" s="202"/>
      <c r="AT88" s="202"/>
      <c r="AU88" s="202"/>
      <c r="AV88" s="202"/>
      <c r="AW88" s="202"/>
      <c r="AX88" s="202"/>
      <c r="AY88" s="202"/>
      <c r="AZ88" s="202"/>
      <c r="BA88" s="202"/>
      <c r="BB88" s="576">
        <f>+BB84*BB87/100</f>
        <v>1784.8254030848598</v>
      </c>
      <c r="BC88" s="202"/>
      <c r="BD88" s="204"/>
      <c r="BE88" s="204"/>
      <c r="BF88" s="204"/>
      <c r="BG88" s="576">
        <f>+BG84*BG87/100</f>
        <v>686.08074331777561</v>
      </c>
      <c r="BH88" s="204"/>
      <c r="BI88" s="204"/>
      <c r="BJ88" s="204"/>
      <c r="BK88" s="204"/>
      <c r="BL88" s="576">
        <f>+BL84*BL87/100</f>
        <v>1037.6649772003202</v>
      </c>
      <c r="BM88" s="204"/>
      <c r="BN88" s="204"/>
      <c r="BO88" s="204"/>
    </row>
    <row r="89" spans="1:75" s="198" customFormat="1" x14ac:dyDescent="0.2">
      <c r="C89" s="200"/>
      <c r="D89" s="201"/>
      <c r="E89" s="201"/>
      <c r="F89" s="201"/>
      <c r="G89" s="201"/>
      <c r="H89" s="201"/>
      <c r="I89" s="202"/>
      <c r="J89" s="202"/>
      <c r="K89" s="202"/>
      <c r="L89" s="202"/>
      <c r="M89" s="202"/>
      <c r="N89" s="203"/>
      <c r="O89" s="203"/>
      <c r="P89" s="203"/>
      <c r="Q89" s="203"/>
      <c r="R89" s="202"/>
      <c r="S89" s="203"/>
      <c r="T89" s="203"/>
      <c r="U89" s="203"/>
      <c r="V89" s="203"/>
      <c r="W89" s="202"/>
      <c r="X89" s="203"/>
      <c r="Y89" s="203"/>
      <c r="Z89" s="203"/>
      <c r="AA89" s="203"/>
      <c r="AB89" s="202"/>
      <c r="AC89" s="203"/>
      <c r="AD89" s="203"/>
      <c r="AE89" s="203"/>
      <c r="AF89" s="203"/>
      <c r="AG89" s="202"/>
      <c r="AH89" s="203"/>
      <c r="AI89" s="203"/>
      <c r="AJ89" s="203"/>
      <c r="AK89" s="203"/>
      <c r="AL89" s="202"/>
      <c r="AM89" s="202"/>
      <c r="AN89" s="202"/>
      <c r="AO89" s="202"/>
      <c r="AP89" s="202"/>
      <c r="AQ89" s="202"/>
      <c r="AS89" s="202"/>
      <c r="AT89" s="202"/>
      <c r="AU89" s="202"/>
      <c r="AV89" s="202"/>
      <c r="AW89" s="202"/>
      <c r="AX89" s="202"/>
      <c r="AY89" s="202"/>
      <c r="AZ89" s="202"/>
      <c r="BA89" s="202"/>
      <c r="BB89" s="202"/>
      <c r="BC89" s="202"/>
      <c r="BD89" s="204"/>
      <c r="BE89" s="204"/>
      <c r="BF89" s="204"/>
      <c r="BG89" s="204"/>
      <c r="BH89" s="204"/>
      <c r="BI89" s="204"/>
      <c r="BJ89" s="204"/>
      <c r="BK89" s="204"/>
      <c r="BL89" s="204"/>
      <c r="BM89" s="204"/>
      <c r="BN89" s="198">
        <f t="shared" ref="BN89:BO89" si="81">BM69*10^(-2)*BM63*10^6</f>
        <v>1486238754.3948407</v>
      </c>
      <c r="BO89" s="198">
        <f t="shared" si="81"/>
        <v>1713385141.6266887</v>
      </c>
      <c r="BP89" s="198">
        <f>BO69*10^(-2)*BO63*10^6</f>
        <v>2145387016.2907934</v>
      </c>
      <c r="BQ89" s="198">
        <f>BP89</f>
        <v>2145387016.2907934</v>
      </c>
      <c r="BR89" s="483">
        <f>SUM(BN89:BP89)/10^6</f>
        <v>5345.0109123123229</v>
      </c>
    </row>
    <row r="90" spans="1:75" s="120" customFormat="1" x14ac:dyDescent="0.2">
      <c r="B90" s="163"/>
      <c r="C90" s="164"/>
      <c r="D90" s="104"/>
      <c r="E90" s="104"/>
      <c r="F90" s="104"/>
      <c r="G90" s="104"/>
      <c r="H90" s="104"/>
      <c r="I90" s="104"/>
      <c r="J90" s="104"/>
      <c r="K90" s="104"/>
      <c r="L90" s="104"/>
      <c r="M90" s="104"/>
      <c r="R90" s="104"/>
      <c r="W90" s="104"/>
      <c r="AB90" s="104"/>
      <c r="BB90" s="578">
        <f>+BB88+BB82+BB76</f>
        <v>9237.9694627105928</v>
      </c>
      <c r="BD90" s="206"/>
      <c r="BE90" s="206"/>
      <c r="BF90" s="206"/>
      <c r="BG90" s="206"/>
      <c r="BL90" s="206"/>
      <c r="BO90" s="205"/>
      <c r="BP90" s="198"/>
      <c r="BQ90" s="198"/>
      <c r="BR90" s="483">
        <f>SUM(BN89:BQ89)/10^6</f>
        <v>7490.3979286031163</v>
      </c>
      <c r="BS90" s="198"/>
      <c r="BT90" s="198"/>
      <c r="BU90" s="198"/>
      <c r="BV90" s="198"/>
      <c r="BW90" s="198"/>
    </row>
    <row r="91" spans="1:75" s="120" customFormat="1" x14ac:dyDescent="0.2">
      <c r="A91" s="114" t="s">
        <v>9</v>
      </c>
      <c r="B91" s="115"/>
      <c r="C91" s="116"/>
      <c r="D91" s="117"/>
      <c r="E91" s="117"/>
      <c r="F91" s="117"/>
      <c r="G91" s="117"/>
      <c r="H91" s="118"/>
      <c r="I91" s="117"/>
      <c r="J91" s="117"/>
      <c r="K91" s="117"/>
      <c r="L91" s="117"/>
      <c r="M91" s="117"/>
      <c r="N91" s="117"/>
      <c r="O91" s="117"/>
      <c r="P91" s="117"/>
      <c r="Q91" s="117"/>
      <c r="R91" s="117"/>
      <c r="S91" s="117"/>
      <c r="T91" s="117"/>
      <c r="U91" s="117"/>
      <c r="V91" s="117"/>
      <c r="W91" s="117"/>
      <c r="X91" s="117"/>
      <c r="Y91" s="117"/>
      <c r="Z91" s="117"/>
      <c r="AA91" s="117"/>
      <c r="AB91" s="117"/>
      <c r="AC91" s="117"/>
      <c r="AD91" s="117"/>
      <c r="AE91" s="117"/>
      <c r="AF91" s="117"/>
      <c r="AG91" s="117"/>
      <c r="AH91" s="117"/>
      <c r="AI91" s="117"/>
      <c r="AJ91" s="117"/>
      <c r="AK91" s="117"/>
      <c r="AL91" s="117"/>
      <c r="AM91" s="117"/>
      <c r="AN91" s="117"/>
      <c r="AO91" s="117"/>
      <c r="AP91" s="117"/>
      <c r="AQ91" s="117"/>
      <c r="AS91" s="117"/>
      <c r="AT91" s="117"/>
      <c r="AU91" s="117"/>
      <c r="AV91" s="117"/>
      <c r="AW91" s="117"/>
      <c r="AX91" s="117"/>
      <c r="AY91" s="117"/>
      <c r="AZ91" s="117"/>
      <c r="BA91" s="117"/>
      <c r="BB91" s="117"/>
      <c r="BC91" s="117"/>
      <c r="BD91" s="207"/>
      <c r="BE91" s="207"/>
      <c r="BF91" s="207"/>
      <c r="BG91" s="207"/>
      <c r="BH91" s="117"/>
      <c r="BI91" s="117"/>
      <c r="BJ91" s="117"/>
      <c r="BK91" s="117"/>
      <c r="BL91" s="207"/>
      <c r="BM91" s="117"/>
      <c r="BN91" s="117"/>
      <c r="BO91" s="117"/>
    </row>
    <row r="92" spans="1:75" s="120" customFormat="1" x14ac:dyDescent="0.2">
      <c r="B92" s="163" t="s">
        <v>711</v>
      </c>
      <c r="C92" s="164" t="s">
        <v>700</v>
      </c>
      <c r="D92" s="165">
        <v>1855.0023528743613</v>
      </c>
      <c r="E92" s="165">
        <v>1916.7048892366106</v>
      </c>
      <c r="F92" s="165">
        <v>1921.6506064861546</v>
      </c>
      <c r="G92" s="165">
        <v>1990.126526218095</v>
      </c>
      <c r="H92" s="165">
        <v>7683.4843748152216</v>
      </c>
      <c r="I92" s="165">
        <v>1885.0285595446069</v>
      </c>
      <c r="J92" s="165">
        <v>1847.7965107501025</v>
      </c>
      <c r="K92" s="165">
        <v>1862.7511404954494</v>
      </c>
      <c r="L92" s="165">
        <v>2050.3688495567148</v>
      </c>
      <c r="M92" s="165">
        <v>7645.9450603468731</v>
      </c>
      <c r="N92" s="165">
        <v>1957.0936171875001</v>
      </c>
      <c r="O92" s="165">
        <v>1906.9763470629332</v>
      </c>
      <c r="P92" s="165">
        <v>1864.1814619050751</v>
      </c>
      <c r="Q92" s="165">
        <v>1923.6293798479865</v>
      </c>
      <c r="R92" s="165">
        <v>7651.8808060034944</v>
      </c>
      <c r="S92" s="165">
        <v>1827.5360964174497</v>
      </c>
      <c r="T92" s="165">
        <v>1763.0738750860598</v>
      </c>
      <c r="U92" s="165">
        <v>1774.00563558403</v>
      </c>
      <c r="V92" s="165">
        <v>1855.0970498923059</v>
      </c>
      <c r="W92" s="165">
        <v>7219.7126569918155</v>
      </c>
      <c r="X92" s="165">
        <v>1767.4547019910285</v>
      </c>
      <c r="Y92" s="165">
        <v>1739.8600777561123</v>
      </c>
      <c r="Z92" s="165">
        <v>1765.2339567227036</v>
      </c>
      <c r="AA92" s="165">
        <v>1810.2102124100002</v>
      </c>
      <c r="AB92" s="165">
        <f>+X92+Y92+AA92+Z92</f>
        <v>7082.7589488798449</v>
      </c>
      <c r="AC92" s="165">
        <v>1707.0333090240001</v>
      </c>
      <c r="AD92" s="165">
        <v>1633.1690837789999</v>
      </c>
      <c r="AE92" s="165">
        <v>1661.181768909832</v>
      </c>
      <c r="AF92" s="165">
        <v>1702.7480186405901</v>
      </c>
      <c r="AG92" s="165">
        <v>6704.132180655999</v>
      </c>
      <c r="AH92" s="165">
        <v>1532.5903807423299</v>
      </c>
      <c r="AI92" s="165">
        <v>1482.7805788239095</v>
      </c>
      <c r="AJ92" s="165">
        <v>1573.3237693946301</v>
      </c>
      <c r="AK92" s="165">
        <v>1641.60903955308</v>
      </c>
      <c r="AL92" s="165">
        <f>SUM(AH92:AK92)</f>
        <v>6230.3037685139498</v>
      </c>
      <c r="AM92" s="165">
        <v>1609.8891584331984</v>
      </c>
      <c r="AN92" s="165">
        <v>1593.67063274308</v>
      </c>
      <c r="AO92" s="165">
        <v>1634.9935982314771</v>
      </c>
      <c r="AP92" s="165">
        <v>1659.0931747649399</v>
      </c>
      <c r="AQ92" s="165">
        <f>SUM(AM92:AP92)</f>
        <v>6497.6465641726954</v>
      </c>
      <c r="AS92" s="165">
        <v>1609.8891584331984</v>
      </c>
      <c r="AT92" s="165">
        <v>1593.67063274308</v>
      </c>
      <c r="AU92" s="165">
        <v>1634.9935982314771</v>
      </c>
      <c r="AV92" s="165">
        <v>1659.0931747649399</v>
      </c>
      <c r="AW92" s="165">
        <f>SUM(AS92:AV92)</f>
        <v>6497.6465641726954</v>
      </c>
      <c r="AX92" s="165">
        <v>1603.6406981164396</v>
      </c>
      <c r="AY92" s="165">
        <v>1521.3048098414699</v>
      </c>
      <c r="AZ92" s="165">
        <v>1591.7918246897798</v>
      </c>
      <c r="BA92" s="165">
        <v>1639.9323440650901</v>
      </c>
      <c r="BB92" s="165">
        <f>SUM(AX92:BA92)</f>
        <v>6356.6696767127796</v>
      </c>
      <c r="BC92" s="165">
        <v>1586.7717722118705</v>
      </c>
      <c r="BD92" s="168">
        <v>918.77165869438602</v>
      </c>
      <c r="BE92" s="168">
        <v>957.92253705428004</v>
      </c>
      <c r="BF92" s="168">
        <v>1244.7887880726498</v>
      </c>
      <c r="BG92" s="168">
        <f>SUM(BC92:BF92)</f>
        <v>4708.2547560331859</v>
      </c>
      <c r="BH92" s="165">
        <v>1119.2926481545601</v>
      </c>
      <c r="BI92" s="165">
        <v>1095.845559488675</v>
      </c>
      <c r="BJ92" s="165">
        <v>1178.440315879724</v>
      </c>
      <c r="BK92" s="165">
        <v>1394.5017206188761</v>
      </c>
      <c r="BL92" s="168">
        <f>SUM(BH92:BK92)</f>
        <v>4788.0802441418355</v>
      </c>
      <c r="BM92" s="165">
        <v>1429.8556306813298</v>
      </c>
      <c r="BN92" s="165">
        <v>1459.2791185063197</v>
      </c>
      <c r="BO92" s="165">
        <v>1624.4346468142919</v>
      </c>
    </row>
    <row r="93" spans="1:75" s="120" customFormat="1" x14ac:dyDescent="0.2">
      <c r="B93" s="163" t="s">
        <v>712</v>
      </c>
      <c r="C93" s="164" t="s">
        <v>700</v>
      </c>
      <c r="D93" s="165">
        <v>1071.3371069420004</v>
      </c>
      <c r="E93" s="165">
        <v>1137.4533681409998</v>
      </c>
      <c r="F93" s="165">
        <v>1131.0048851510001</v>
      </c>
      <c r="G93" s="165">
        <v>1258.0470372539996</v>
      </c>
      <c r="H93" s="165">
        <v>4597.8423974879997</v>
      </c>
      <c r="I93" s="165">
        <v>1098.5098371475394</v>
      </c>
      <c r="J93" s="165">
        <v>1082.9418434107058</v>
      </c>
      <c r="K93" s="165">
        <v>1067.4753020672965</v>
      </c>
      <c r="L93" s="165">
        <v>1239.3834383241056</v>
      </c>
      <c r="M93" s="165">
        <v>4488.3104209496469</v>
      </c>
      <c r="N93" s="165">
        <v>1098.4145883789063</v>
      </c>
      <c r="O93" s="165">
        <v>1118.703088159589</v>
      </c>
      <c r="P93" s="165">
        <v>1059.3376530757891</v>
      </c>
      <c r="Q93" s="165">
        <v>1190.2656118606233</v>
      </c>
      <c r="R93" s="165">
        <v>4466.7209414749077</v>
      </c>
      <c r="S93" s="165">
        <v>1072.129740011226</v>
      </c>
      <c r="T93" s="165">
        <v>1049.8260476305943</v>
      </c>
      <c r="U93" s="165">
        <v>1039.4824972101783</v>
      </c>
      <c r="V93" s="165">
        <v>1155.7427490336843</v>
      </c>
      <c r="W93" s="165">
        <v>4317.1810313255055</v>
      </c>
      <c r="X93" s="165">
        <v>969.47369561537653</v>
      </c>
      <c r="Y93" s="165">
        <v>918.67996889866458</v>
      </c>
      <c r="Z93" s="165">
        <v>907.92559773384642</v>
      </c>
      <c r="AA93" s="165">
        <v>1000.9206894360004</v>
      </c>
      <c r="AB93" s="165">
        <f>+X93+Y93+AA93+Z93</f>
        <v>3796.999951683888</v>
      </c>
      <c r="AC93" s="165">
        <v>874.52350338799999</v>
      </c>
      <c r="AD93" s="165">
        <v>796.95935837499997</v>
      </c>
      <c r="AE93" s="165">
        <v>824.49859421935116</v>
      </c>
      <c r="AF93" s="165">
        <v>970.29781650877192</v>
      </c>
      <c r="AG93" s="165">
        <v>3465.9083701879999</v>
      </c>
      <c r="AH93" s="165">
        <v>810.43456274258097</v>
      </c>
      <c r="AI93" s="165">
        <v>798.74661853816247</v>
      </c>
      <c r="AJ93" s="165">
        <v>852.97359979657301</v>
      </c>
      <c r="AK93" s="165">
        <v>959.17543874281296</v>
      </c>
      <c r="AL93" s="165">
        <f>SUM(AH93:AK93)</f>
        <v>3421.3302198201291</v>
      </c>
      <c r="AM93" s="165">
        <v>881.86994880840018</v>
      </c>
      <c r="AN93" s="165">
        <v>875.002324302327</v>
      </c>
      <c r="AO93" s="165">
        <v>874.79886326398014</v>
      </c>
      <c r="AP93" s="165">
        <v>950.85035035791998</v>
      </c>
      <c r="AQ93" s="165">
        <f>SUM(AM93:AP93)</f>
        <v>3582.5214867326272</v>
      </c>
      <c r="AS93" s="165">
        <v>881.86994880840018</v>
      </c>
      <c r="AT93" s="165">
        <v>875.002324302327</v>
      </c>
      <c r="AU93" s="165">
        <v>874.79886326398014</v>
      </c>
      <c r="AV93" s="165">
        <v>950.85035035791998</v>
      </c>
      <c r="AW93" s="165">
        <f>SUM(AS93:AV93)</f>
        <v>3582.5214867326272</v>
      </c>
      <c r="AX93" s="165">
        <v>898.76720157398188</v>
      </c>
      <c r="AY93" s="165">
        <v>849.48385541879702</v>
      </c>
      <c r="AZ93" s="165">
        <v>853.18237269153701</v>
      </c>
      <c r="BA93" s="165">
        <v>924.54895193205402</v>
      </c>
      <c r="BB93" s="165">
        <f>SUM(AX93:BA93)</f>
        <v>3525.9823816163703</v>
      </c>
      <c r="BC93" s="165">
        <v>832.34341480455726</v>
      </c>
      <c r="BD93" s="168">
        <v>716.2181121654171</v>
      </c>
      <c r="BE93" s="168">
        <v>696.98491465391305</v>
      </c>
      <c r="BF93" s="168">
        <v>832.23305253649994</v>
      </c>
      <c r="BG93" s="168">
        <f>SUM(BC93:BF93)</f>
        <v>3077.7794941603875</v>
      </c>
      <c r="BH93" s="165">
        <v>731.45491779820009</v>
      </c>
      <c r="BI93" s="165">
        <v>745.35971719197698</v>
      </c>
      <c r="BJ93" s="165">
        <v>725.484412646132</v>
      </c>
      <c r="BK93" s="165">
        <v>832.56271686852563</v>
      </c>
      <c r="BL93" s="168">
        <f>SUM(BH93:BK93)</f>
        <v>3034.8617645048348</v>
      </c>
      <c r="BM93" s="165">
        <v>835.55575022301548</v>
      </c>
      <c r="BN93" s="165">
        <v>847.1542165794873</v>
      </c>
      <c r="BO93" s="165">
        <v>896.93687676041384</v>
      </c>
    </row>
    <row r="94" spans="1:75" s="120" customFormat="1" x14ac:dyDescent="0.2">
      <c r="B94" s="163" t="s">
        <v>713</v>
      </c>
      <c r="C94" s="164" t="s">
        <v>688</v>
      </c>
      <c r="D94" s="170">
        <v>0.5775394868270346</v>
      </c>
      <c r="E94" s="170">
        <v>0.59344209665684489</v>
      </c>
      <c r="F94" s="170">
        <v>0.58855906548959258</v>
      </c>
      <c r="G94" s="170">
        <v>0.63214424845876971</v>
      </c>
      <c r="H94" s="170">
        <v>0.59840590195754417</v>
      </c>
      <c r="I94" s="170">
        <v>0.58275501004235286</v>
      </c>
      <c r="J94" s="170">
        <v>0.58607202530710034</v>
      </c>
      <c r="K94" s="170">
        <v>0.57306382954803747</v>
      </c>
      <c r="L94" s="170">
        <v>0.60446852701261899</v>
      </c>
      <c r="M94" s="170">
        <v>0.58701839805608358</v>
      </c>
      <c r="N94" s="170">
        <f t="shared" ref="N94:T94" si="82">N93/N92</f>
        <v>0.56124785178003689</v>
      </c>
      <c r="O94" s="170">
        <f t="shared" si="82"/>
        <v>0.58663710742012154</v>
      </c>
      <c r="P94" s="170">
        <f t="shared" si="82"/>
        <v>0.56825887110432549</v>
      </c>
      <c r="Q94" s="170">
        <f t="shared" si="82"/>
        <v>0.61876036222460029</v>
      </c>
      <c r="R94" s="170">
        <f t="shared" si="82"/>
        <v>0.58374157344040412</v>
      </c>
      <c r="S94" s="170">
        <f t="shared" si="82"/>
        <v>0.58665311296063605</v>
      </c>
      <c r="T94" s="170">
        <f t="shared" si="82"/>
        <v>0.59545210354804323</v>
      </c>
      <c r="U94" s="170">
        <v>0.58595219561856948</v>
      </c>
      <c r="V94" s="170">
        <f>V93/V92</f>
        <v>0.62300931862339959</v>
      </c>
      <c r="W94" s="170">
        <f>W93/W92</f>
        <v>0.5979713094460346</v>
      </c>
      <c r="X94" s="170">
        <f>X93/X92</f>
        <v>0.54851402670929528</v>
      </c>
      <c r="Y94" s="170">
        <v>0.52801945434800768</v>
      </c>
      <c r="Z94" s="170">
        <v>0.51433726066514274</v>
      </c>
      <c r="AA94" s="170">
        <v>0.55293063898000971</v>
      </c>
      <c r="AB94" s="170">
        <f>+AVERAGE(X94:AA94)</f>
        <v>0.5359503451756138</v>
      </c>
      <c r="AC94" s="170">
        <f t="shared" ref="AC94:AQ94" si="83">AC93/AC92</f>
        <v>0.51230605680917296</v>
      </c>
      <c r="AD94" s="170">
        <f t="shared" si="83"/>
        <v>0.48798337311830003</v>
      </c>
      <c r="AE94" s="170">
        <f t="shared" si="83"/>
        <v>0.49633255652717462</v>
      </c>
      <c r="AF94" s="170">
        <f t="shared" si="83"/>
        <v>0.56984228193871056</v>
      </c>
      <c r="AG94" s="170">
        <f t="shared" si="83"/>
        <v>0.51698091218852738</v>
      </c>
      <c r="AH94" s="170">
        <f t="shared" si="83"/>
        <v>0.52880050202979645</v>
      </c>
      <c r="AI94" s="170">
        <f t="shared" si="83"/>
        <v>0.5386816026223521</v>
      </c>
      <c r="AJ94" s="170">
        <f t="shared" si="83"/>
        <v>0.54214753275149008</v>
      </c>
      <c r="AK94" s="170">
        <f t="shared" si="83"/>
        <v>0.58428981300197014</v>
      </c>
      <c r="AL94" s="170">
        <f t="shared" si="83"/>
        <v>0.5491434040681108</v>
      </c>
      <c r="AM94" s="170">
        <f t="shared" si="83"/>
        <v>0.54778302232103204</v>
      </c>
      <c r="AN94" s="170">
        <f t="shared" si="83"/>
        <v>0.54904840832527813</v>
      </c>
      <c r="AO94" s="170">
        <f t="shared" si="83"/>
        <v>0.53504727126162666</v>
      </c>
      <c r="AP94" s="170">
        <f t="shared" si="83"/>
        <v>0.57311449701589923</v>
      </c>
      <c r="AQ94" s="170">
        <f t="shared" si="83"/>
        <v>0.55135677992802112</v>
      </c>
      <c r="AS94" s="170">
        <f t="shared" ref="AS94:BE94" si="84">AS93/AS92</f>
        <v>0.54778302232103204</v>
      </c>
      <c r="AT94" s="170">
        <f t="shared" si="84"/>
        <v>0.54904840832527813</v>
      </c>
      <c r="AU94" s="170">
        <f t="shared" si="84"/>
        <v>0.53504727126162666</v>
      </c>
      <c r="AV94" s="170">
        <f t="shared" si="84"/>
        <v>0.57311449701589923</v>
      </c>
      <c r="AW94" s="170">
        <f t="shared" si="84"/>
        <v>0.55135677992802112</v>
      </c>
      <c r="AX94" s="170">
        <f t="shared" si="84"/>
        <v>0.56045422308727344</v>
      </c>
      <c r="AY94" s="170">
        <f t="shared" si="84"/>
        <v>0.55839161877580523</v>
      </c>
      <c r="AZ94" s="170">
        <f t="shared" si="84"/>
        <v>0.53598866350366603</v>
      </c>
      <c r="BA94" s="170">
        <f t="shared" si="84"/>
        <v>0.56377261859490346</v>
      </c>
      <c r="BB94" s="170">
        <f t="shared" si="84"/>
        <v>0.55469020114944201</v>
      </c>
      <c r="BC94" s="170">
        <f t="shared" si="84"/>
        <v>0.52455143794517933</v>
      </c>
      <c r="BD94" s="171">
        <f t="shared" si="84"/>
        <v>0.77953875197151135</v>
      </c>
      <c r="BE94" s="171">
        <f t="shared" si="84"/>
        <v>0.72760049763232459</v>
      </c>
      <c r="BF94" s="171">
        <f>BF93/BF92</f>
        <v>0.66857370544369665</v>
      </c>
      <c r="BG94" s="171">
        <f>BG93/BG92</f>
        <v>0.65369858974102923</v>
      </c>
      <c r="BH94" s="170">
        <f t="shared" ref="BH94:BK94" si="85">BH93/BH92</f>
        <v>0.65349747360906052</v>
      </c>
      <c r="BI94" s="170">
        <f t="shared" si="85"/>
        <v>0.68016857917439044</v>
      </c>
      <c r="BJ94" s="170">
        <f t="shared" si="85"/>
        <v>0.61563101912763951</v>
      </c>
      <c r="BK94" s="170">
        <f t="shared" si="85"/>
        <v>0.59703240559576831</v>
      </c>
      <c r="BL94" s="171">
        <f>BL93/BL92</f>
        <v>0.63383686357762181</v>
      </c>
      <c r="BM94" s="170">
        <f t="shared" ref="BM94:BO94" si="86">BM93/BM92</f>
        <v>0.58436371637384887</v>
      </c>
      <c r="BN94" s="170">
        <f t="shared" si="86"/>
        <v>0.58052925299624136</v>
      </c>
      <c r="BO94" s="170">
        <f t="shared" si="86"/>
        <v>0.55215325437647667</v>
      </c>
    </row>
    <row r="95" spans="1:75" s="120" customFormat="1" x14ac:dyDescent="0.2">
      <c r="B95" s="163" t="s">
        <v>714</v>
      </c>
      <c r="C95" s="164" t="s">
        <v>704</v>
      </c>
      <c r="D95" s="165">
        <v>270.38834380600002</v>
      </c>
      <c r="E95" s="165">
        <v>290.28139748100006</v>
      </c>
      <c r="F95" s="165">
        <v>288.050843918</v>
      </c>
      <c r="G95" s="165">
        <v>316.51727892999997</v>
      </c>
      <c r="H95" s="165">
        <v>1165.2378641349999</v>
      </c>
      <c r="I95" s="165">
        <v>270.94503947999999</v>
      </c>
      <c r="J95" s="165">
        <v>282.96116496999997</v>
      </c>
      <c r="K95" s="165">
        <v>283.72177536106983</v>
      </c>
      <c r="L95" s="165">
        <v>316.37927052877427</v>
      </c>
      <c r="M95" s="165">
        <v>1154.0072503398439</v>
      </c>
      <c r="N95" s="165">
        <v>330.72</v>
      </c>
      <c r="O95" s="165">
        <v>289.82436843478166</v>
      </c>
      <c r="P95" s="165">
        <v>275.77745899860457</v>
      </c>
      <c r="Q95" s="165">
        <v>304.0968638183399</v>
      </c>
      <c r="R95" s="165">
        <v>1200.4186912517262</v>
      </c>
      <c r="S95" s="165">
        <v>322.57600000000002</v>
      </c>
      <c r="T95" s="165">
        <v>270.23076090205507</v>
      </c>
      <c r="U95" s="165">
        <v>268.02638002399999</v>
      </c>
      <c r="V95" s="165">
        <v>291.56041223801299</v>
      </c>
      <c r="W95" s="165">
        <v>1102.1871014786079</v>
      </c>
      <c r="X95" s="165">
        <v>238.15441600759596</v>
      </c>
      <c r="Y95" s="165">
        <v>242.35863679170001</v>
      </c>
      <c r="Z95" s="165">
        <v>254.08179555999999</v>
      </c>
      <c r="AA95" s="165">
        <v>288.27006091300001</v>
      </c>
      <c r="AB95" s="165">
        <v>1008.70120251</v>
      </c>
      <c r="AC95" s="165">
        <v>234.40700000000001</v>
      </c>
      <c r="AD95" s="165">
        <v>223.88756588999999</v>
      </c>
      <c r="AE95" s="165">
        <v>231.11667477029999</v>
      </c>
      <c r="AF95" s="165">
        <v>254.87325849999999</v>
      </c>
      <c r="AG95" s="165">
        <v>944.284825633482</v>
      </c>
      <c r="AH95" s="165">
        <v>212.99366118</v>
      </c>
      <c r="AI95" s="165">
        <v>214.225899</v>
      </c>
      <c r="AJ95" s="165">
        <v>222.76191743000001</v>
      </c>
      <c r="AK95" s="165">
        <v>245.96786779999999</v>
      </c>
      <c r="AL95" s="165">
        <f>SUM(AH95:AK95)</f>
        <v>895.94934541000009</v>
      </c>
      <c r="AM95" s="165">
        <v>224.87373991000001</v>
      </c>
      <c r="AN95" s="165">
        <v>230.59822947000001</v>
      </c>
      <c r="AO95" s="165">
        <v>228.47217998999997</v>
      </c>
      <c r="AP95" s="165">
        <v>236.66847221</v>
      </c>
      <c r="AQ95" s="165">
        <f>SUM(AM95:AP95)</f>
        <v>920.61262158</v>
      </c>
      <c r="AS95" s="165">
        <v>224.87373991000001</v>
      </c>
      <c r="AT95" s="165">
        <v>230.59822947000001</v>
      </c>
      <c r="AU95" s="165">
        <v>228.47217998999997</v>
      </c>
      <c r="AV95" s="165">
        <v>236.66847221</v>
      </c>
      <c r="AW95" s="165">
        <f>SUM(AS95:AV95)</f>
        <v>920.61262158</v>
      </c>
      <c r="AX95" s="165">
        <v>214.74674866999999</v>
      </c>
      <c r="AY95" s="165">
        <v>220.10348635</v>
      </c>
      <c r="AZ95" s="165">
        <v>224.81560595709999</v>
      </c>
      <c r="BA95" s="165">
        <v>244.16864390999999</v>
      </c>
      <c r="BB95" s="165">
        <f>SUM(AX95:BA95)</f>
        <v>903.83448488710007</v>
      </c>
      <c r="BC95" s="165">
        <v>226.03673021</v>
      </c>
      <c r="BD95" s="168">
        <v>167.90991029989999</v>
      </c>
      <c r="BE95" s="168">
        <v>178.46286154180001</v>
      </c>
      <c r="BF95" s="168">
        <v>244.16864390999999</v>
      </c>
      <c r="BG95" s="168">
        <f>SUM(BC95:BF95)</f>
        <v>816.57814596169999</v>
      </c>
      <c r="BH95" s="165">
        <v>192.2428121419</v>
      </c>
      <c r="BI95" s="165">
        <v>198.73587961749999</v>
      </c>
      <c r="BJ95" s="165">
        <v>194.45821464749199</v>
      </c>
      <c r="BK95" s="165">
        <v>216.08710806323123</v>
      </c>
      <c r="BL95" s="168">
        <f>SUM(BH95:BK95)</f>
        <v>801.52401447012323</v>
      </c>
      <c r="BM95" s="165">
        <v>215.15095504667104</v>
      </c>
      <c r="BN95" s="165">
        <v>219.06950834431478</v>
      </c>
      <c r="BO95" s="165">
        <v>226.72003406826272</v>
      </c>
    </row>
    <row r="96" spans="1:75" s="120" customFormat="1" x14ac:dyDescent="0.2">
      <c r="B96" s="104" t="s">
        <v>715</v>
      </c>
      <c r="C96" s="164" t="s">
        <v>707</v>
      </c>
      <c r="D96" s="172">
        <f t="shared" ref="D96:X96" si="87">D10/D93/10</f>
        <v>42.135922418331525</v>
      </c>
      <c r="E96" s="172">
        <f t="shared" si="87"/>
        <v>47.297497490330379</v>
      </c>
      <c r="F96" s="172">
        <f t="shared" si="87"/>
        <v>46.250109691627223</v>
      </c>
      <c r="G96" s="172">
        <f t="shared" si="87"/>
        <v>44.125620025668255</v>
      </c>
      <c r="H96" s="172">
        <f t="shared" si="87"/>
        <v>44.96928400596228</v>
      </c>
      <c r="I96" s="172">
        <f t="shared" si="87"/>
        <v>43.29556130648669</v>
      </c>
      <c r="J96" s="172">
        <f t="shared" si="87"/>
        <v>44.161558897177635</v>
      </c>
      <c r="K96" s="172">
        <f t="shared" si="87"/>
        <v>41.969495606349497</v>
      </c>
      <c r="L96" s="172">
        <f t="shared" si="87"/>
        <v>43.399482627210958</v>
      </c>
      <c r="M96" s="172">
        <f t="shared" si="87"/>
        <v>43.217844089972353</v>
      </c>
      <c r="N96" s="172">
        <f t="shared" si="87"/>
        <v>41.914501579906485</v>
      </c>
      <c r="O96" s="172">
        <f t="shared" si="87"/>
        <v>43.490270577548841</v>
      </c>
      <c r="P96" s="172">
        <f t="shared" si="87"/>
        <v>41.191965444919475</v>
      </c>
      <c r="Q96" s="172">
        <f t="shared" si="87"/>
        <v>40.30159278903632</v>
      </c>
      <c r="R96" s="172">
        <f t="shared" si="87"/>
        <v>41.70800066558099</v>
      </c>
      <c r="S96" s="172">
        <f t="shared" si="87"/>
        <v>39.240493412261358</v>
      </c>
      <c r="T96" s="172">
        <f t="shared" si="87"/>
        <v>40.476610478379264</v>
      </c>
      <c r="U96" s="172">
        <f t="shared" si="87"/>
        <v>39.489457600458444</v>
      </c>
      <c r="V96" s="172">
        <f t="shared" si="87"/>
        <v>39.563215982302772</v>
      </c>
      <c r="W96" s="172">
        <f t="shared" si="87"/>
        <v>39.687448535692759</v>
      </c>
      <c r="X96" s="172">
        <f t="shared" si="87"/>
        <v>36.135276447870197</v>
      </c>
      <c r="Y96" s="172">
        <v>36.404951813735593</v>
      </c>
      <c r="Z96" s="172">
        <v>34.119665162113058</v>
      </c>
      <c r="AA96" s="172">
        <v>33.45749603684385</v>
      </c>
      <c r="AB96" s="208">
        <v>35.012668352679171</v>
      </c>
      <c r="AC96" s="172">
        <v>31.55627023526224</v>
      </c>
      <c r="AD96" s="172">
        <v>32.625252124545014</v>
      </c>
      <c r="AE96" s="172">
        <v>32.640442963887672</v>
      </c>
      <c r="AF96" s="172">
        <v>31.851476454872657</v>
      </c>
      <c r="AG96" s="208">
        <v>32.044262188723472</v>
      </c>
      <c r="AH96" s="172">
        <v>31.309869009201869</v>
      </c>
      <c r="AI96" s="172">
        <v>32.114189161696515</v>
      </c>
      <c r="AJ96" s="172">
        <v>31.906380228521279</v>
      </c>
      <c r="AK96" s="172">
        <v>35.136429310755773</v>
      </c>
      <c r="AL96" s="208">
        <v>32.719145130014724</v>
      </c>
      <c r="AM96" s="208">
        <v>33.544628706275539</v>
      </c>
      <c r="AN96" s="208">
        <v>34.251680444273646</v>
      </c>
      <c r="AO96" s="208">
        <v>31.879671054835843</v>
      </c>
      <c r="AP96" s="208">
        <v>32.819254878807513</v>
      </c>
      <c r="AQ96" s="208">
        <v>32.719145130014724</v>
      </c>
      <c r="AS96" s="208">
        <v>33.544628706275539</v>
      </c>
      <c r="AT96" s="208">
        <v>34.251680444273646</v>
      </c>
      <c r="AU96" s="208">
        <v>31.879671054835843</v>
      </c>
      <c r="AV96" s="208">
        <v>32.819254878807513</v>
      </c>
      <c r="AW96" s="208">
        <v>32.719145130014724</v>
      </c>
      <c r="AX96" s="208">
        <v>29.317491730733831</v>
      </c>
      <c r="AY96" s="208">
        <v>31.697012048245917</v>
      </c>
      <c r="AZ96" s="208">
        <v>29.500257864680169</v>
      </c>
      <c r="BA96" s="208">
        <v>30.28352359438686</v>
      </c>
      <c r="BB96" s="208">
        <v>30.188296049058685</v>
      </c>
      <c r="BC96" s="208">
        <v>30.322700403566422</v>
      </c>
      <c r="BD96" s="209">
        <v>44.50138785744462</v>
      </c>
      <c r="BE96" s="209">
        <v>40.74062350990738</v>
      </c>
      <c r="BF96" s="173">
        <f t="shared" ref="BF96:BO96" si="88">BF10/BF93/10</f>
        <v>42.634812318324535</v>
      </c>
      <c r="BG96" s="173">
        <f t="shared" si="88"/>
        <v>39.310580965776971</v>
      </c>
      <c r="BH96" s="173">
        <f t="shared" si="88"/>
        <v>47.196531864079496</v>
      </c>
      <c r="BI96" s="173">
        <f t="shared" si="88"/>
        <v>49.662226904666944</v>
      </c>
      <c r="BJ96" s="173">
        <f t="shared" si="88"/>
        <v>49.820091748311256</v>
      </c>
      <c r="BK96" s="173">
        <f t="shared" si="88"/>
        <v>55.829307580368301</v>
      </c>
      <c r="BL96" s="173">
        <f t="shared" si="88"/>
        <v>50.797522489773073</v>
      </c>
      <c r="BM96" s="173">
        <f t="shared" si="88"/>
        <v>51.546297693169585</v>
      </c>
      <c r="BN96" s="173">
        <f t="shared" si="88"/>
        <v>54.633360247602738</v>
      </c>
      <c r="BO96" s="173">
        <f t="shared" si="88"/>
        <v>45.984506901946958</v>
      </c>
    </row>
    <row r="97" spans="1:68" s="120" customFormat="1" x14ac:dyDescent="0.2">
      <c r="B97" s="120" t="s">
        <v>716</v>
      </c>
      <c r="C97" s="164" t="s">
        <v>707</v>
      </c>
      <c r="D97" s="172">
        <f t="shared" ref="D97:X97" si="89">D10/D92/10</f>
        <v>24.335159010466931</v>
      </c>
      <c r="E97" s="172">
        <f t="shared" si="89"/>
        <v>28.068326077283519</v>
      </c>
      <c r="F97" s="172">
        <f t="shared" si="89"/>
        <v>27.220921338895266</v>
      </c>
      <c r="G97" s="172">
        <f t="shared" si="89"/>
        <v>27.893756908903292</v>
      </c>
      <c r="H97" s="172">
        <f t="shared" si="89"/>
        <v>26.909884955972821</v>
      </c>
      <c r="I97" s="172">
        <f t="shared" si="89"/>
        <v>25.230705263950956</v>
      </c>
      <c r="J97" s="172">
        <f t="shared" si="89"/>
        <v>25.881854263587691</v>
      </c>
      <c r="K97" s="172">
        <f t="shared" si="89"/>
        <v>24.051199876374174</v>
      </c>
      <c r="L97" s="172">
        <f t="shared" si="89"/>
        <v>26.233621336779954</v>
      </c>
      <c r="M97" s="172">
        <f t="shared" si="89"/>
        <v>25.369669605133147</v>
      </c>
      <c r="N97" s="172">
        <f t="shared" si="89"/>
        <v>23.524423970153478</v>
      </c>
      <c r="O97" s="172">
        <f t="shared" si="89"/>
        <v>25.513006532531673</v>
      </c>
      <c r="P97" s="172">
        <f t="shared" si="89"/>
        <v>23.407699782298327</v>
      </c>
      <c r="Q97" s="172">
        <f t="shared" si="89"/>
        <v>24.937028152372452</v>
      </c>
      <c r="R97" s="172">
        <f t="shared" si="89"/>
        <v>24.346693933579669</v>
      </c>
      <c r="S97" s="172">
        <f t="shared" si="89"/>
        <v>23.020557614414461</v>
      </c>
      <c r="T97" s="172">
        <f t="shared" si="89"/>
        <v>24.101882853845702</v>
      </c>
      <c r="U97" s="172">
        <f t="shared" si="89"/>
        <v>23.138934384775034</v>
      </c>
      <c r="V97" s="172">
        <f t="shared" si="89"/>
        <v>24.648252231684843</v>
      </c>
      <c r="W97" s="172">
        <f t="shared" si="89"/>
        <v>23.731955569460307</v>
      </c>
      <c r="X97" s="172">
        <f t="shared" si="89"/>
        <v>19.820705990674846</v>
      </c>
      <c r="Y97" s="172">
        <v>19.222522792254178</v>
      </c>
      <c r="Z97" s="172">
        <v>17.549005264726095</v>
      </c>
      <c r="AA97" s="172">
        <v>18.499674662323212</v>
      </c>
      <c r="AB97" s="208">
        <v>18.769959693143587</v>
      </c>
      <c r="AC97" s="172">
        <v>16.166468371831872</v>
      </c>
      <c r="AD97" s="172">
        <v>15.920580580570462</v>
      </c>
      <c r="AE97" s="172">
        <v>15.920580582153949</v>
      </c>
      <c r="AF97" s="172">
        <v>18.150307421689838</v>
      </c>
      <c r="AG97" s="208">
        <v>16.566275397922659</v>
      </c>
      <c r="AH97" s="172">
        <v>16.55667445055311</v>
      </c>
      <c r="AI97" s="172">
        <v>17.29932288454005</v>
      </c>
      <c r="AJ97" s="172">
        <v>17.297965319923737</v>
      </c>
      <c r="AK97" s="172">
        <v>20.529857711538433</v>
      </c>
      <c r="AL97" s="208">
        <v>17.967502734894865</v>
      </c>
      <c r="AM97" s="208">
        <v>18.375178095360464</v>
      </c>
      <c r="AN97" s="208">
        <v>18.805830630394503</v>
      </c>
      <c r="AO97" s="208">
        <v>17.05713100660817</v>
      </c>
      <c r="AP97" s="208">
        <v>18.809190752304367</v>
      </c>
      <c r="AQ97" s="208">
        <v>17.967502734894865</v>
      </c>
      <c r="AS97" s="208">
        <v>18.375178095360464</v>
      </c>
      <c r="AT97" s="208">
        <v>18.805830630394503</v>
      </c>
      <c r="AU97" s="208">
        <v>17.05713100660817</v>
      </c>
      <c r="AV97" s="208">
        <v>18.809190752304367</v>
      </c>
      <c r="AW97" s="208">
        <v>17.967502734894865</v>
      </c>
      <c r="AX97" s="208">
        <v>16.43111205081599</v>
      </c>
      <c r="AY97" s="208">
        <v>17.699345867976241</v>
      </c>
      <c r="AZ97" s="208">
        <v>15.811803785903436</v>
      </c>
      <c r="BA97" s="208">
        <v>17.07302139708802</v>
      </c>
      <c r="BB97" s="208">
        <v>16.745152007811267</v>
      </c>
      <c r="BC97" s="208">
        <v>15.905816099071634</v>
      </c>
      <c r="BD97" s="209">
        <v>34.690556351392544</v>
      </c>
      <c r="BE97" s="209">
        <v>29.642897939659793</v>
      </c>
      <c r="BF97" s="173">
        <f>BF10/BF92/10</f>
        <v>28.504514452558801</v>
      </c>
      <c r="BG97" s="173">
        <f>BG10/BG92/10</f>
        <v>25.697271339228955</v>
      </c>
      <c r="BH97" s="208">
        <f t="shared" ref="BH97:BK97" si="90">BH10/BH92/10</f>
        <v>30.842814336285478</v>
      </c>
      <c r="BI97" s="208">
        <f t="shared" si="90"/>
        <v>33.778686312383499</v>
      </c>
      <c r="BJ97" s="208">
        <f t="shared" si="90"/>
        <v>30.670793856045368</v>
      </c>
      <c r="BK97" s="208">
        <f t="shared" si="90"/>
        <v>33.331905807453346</v>
      </c>
      <c r="BL97" s="173">
        <f>BL10/BL92/10</f>
        <v>32.197342332431475</v>
      </c>
      <c r="BM97" s="208">
        <f t="shared" ref="BM97:BO97" si="91">BM10/BM92/10</f>
        <v>30.12178608529333</v>
      </c>
      <c r="BN97" s="208">
        <f t="shared" si="91"/>
        <v>31.716263813215363</v>
      </c>
      <c r="BO97" s="208">
        <f t="shared" si="91"/>
        <v>25.390495136807569</v>
      </c>
      <c r="BP97" s="120">
        <v>25</v>
      </c>
    </row>
    <row r="98" spans="1:68" x14ac:dyDescent="0.2">
      <c r="BP98" s="120"/>
    </row>
    <row r="99" spans="1:68" x14ac:dyDescent="0.2">
      <c r="B99" s="104" t="s">
        <v>717</v>
      </c>
      <c r="C99" s="164" t="s">
        <v>707</v>
      </c>
      <c r="M99" s="208">
        <f t="shared" ref="M99:AQ99" si="92">-M24/M63/10</f>
        <v>9.9335188428977101</v>
      </c>
      <c r="N99" s="208">
        <f t="shared" si="92"/>
        <v>9.5768858648246606</v>
      </c>
      <c r="O99" s="208">
        <f t="shared" si="92"/>
        <v>9.735692211871088</v>
      </c>
      <c r="P99" s="208">
        <f t="shared" si="92"/>
        <v>9.3997218163723364</v>
      </c>
      <c r="Q99" s="208">
        <f t="shared" si="92"/>
        <v>9.6345656920449887</v>
      </c>
      <c r="R99" s="208">
        <f t="shared" si="92"/>
        <v>9.5847177407081485</v>
      </c>
      <c r="S99" s="208">
        <f t="shared" si="92"/>
        <v>9.3079560394705716</v>
      </c>
      <c r="T99" s="208">
        <f t="shared" si="92"/>
        <v>9.7942505526081813</v>
      </c>
      <c r="U99" s="208">
        <f t="shared" si="92"/>
        <v>9.1937162323517985</v>
      </c>
      <c r="V99" s="208">
        <f t="shared" si="92"/>
        <v>8.4876178821789345</v>
      </c>
      <c r="W99" s="208">
        <f t="shared" si="92"/>
        <v>9.1840966126112331</v>
      </c>
      <c r="X99" s="208">
        <f t="shared" si="92"/>
        <v>7.6241588405364551</v>
      </c>
      <c r="Y99" s="208">
        <f t="shared" si="92"/>
        <v>7.5886843673757909</v>
      </c>
      <c r="Z99" s="208">
        <f t="shared" si="92"/>
        <v>6.935438271247321</v>
      </c>
      <c r="AA99" s="208">
        <f t="shared" si="92"/>
        <v>6.5295578465826569</v>
      </c>
      <c r="AB99" s="208">
        <f t="shared" si="92"/>
        <v>7.1569559505382241</v>
      </c>
      <c r="AC99" s="208">
        <f t="shared" si="92"/>
        <v>6.0932543654753939</v>
      </c>
      <c r="AD99" s="208">
        <f t="shared" si="92"/>
        <v>6.6581956421892254</v>
      </c>
      <c r="AE99" s="208">
        <f t="shared" si="92"/>
        <v>6.8558169638039477</v>
      </c>
      <c r="AF99" s="208">
        <f t="shared" si="92"/>
        <v>6.9510609579812499</v>
      </c>
      <c r="AG99" s="208">
        <f t="shared" si="92"/>
        <v>6.6380219827177056</v>
      </c>
      <c r="AH99" s="208">
        <f t="shared" si="92"/>
        <v>6.7175716597625836</v>
      </c>
      <c r="AI99" s="208">
        <f t="shared" si="92"/>
        <v>7.0059135696692945</v>
      </c>
      <c r="AJ99" s="208">
        <f t="shared" si="92"/>
        <v>6.8420540921419812</v>
      </c>
      <c r="AK99" s="208">
        <f t="shared" si="92"/>
        <v>7.1508250119565471</v>
      </c>
      <c r="AL99" s="208">
        <f t="shared" si="92"/>
        <v>6.9276920051955342</v>
      </c>
      <c r="AM99" s="208">
        <f t="shared" si="92"/>
        <v>7.0244230951780953</v>
      </c>
      <c r="AN99" s="208">
        <f t="shared" si="92"/>
        <v>7.0719558555490734</v>
      </c>
      <c r="AO99" s="208">
        <f t="shared" si="92"/>
        <v>6.2291168934848971</v>
      </c>
      <c r="AP99" s="208">
        <f t="shared" si="92"/>
        <v>6.7008351265689026</v>
      </c>
      <c r="AQ99" s="208">
        <f t="shared" si="92"/>
        <v>6.7449228540160959</v>
      </c>
      <c r="AR99" s="208"/>
      <c r="AS99" s="208">
        <f t="shared" ref="AS99:BO99" si="93">-AS24/AS63/10</f>
        <v>6.9067654120954716</v>
      </c>
      <c r="AT99" s="208">
        <f t="shared" si="93"/>
        <v>6.9330631399860296</v>
      </c>
      <c r="AU99" s="208">
        <f t="shared" si="93"/>
        <v>6.1059530116718248</v>
      </c>
      <c r="AV99" s="208">
        <f t="shared" si="93"/>
        <v>6.5719029301892586</v>
      </c>
      <c r="AW99" s="208">
        <f t="shared" si="93"/>
        <v>6.6179802284988281</v>
      </c>
      <c r="AX99" s="208">
        <f t="shared" si="93"/>
        <v>6.4312304843693324</v>
      </c>
      <c r="AY99" s="208">
        <f t="shared" si="93"/>
        <v>6.6878677939071141</v>
      </c>
      <c r="AZ99" s="208">
        <f t="shared" si="93"/>
        <v>6.3253774924963349</v>
      </c>
      <c r="BA99" s="208">
        <f t="shared" si="93"/>
        <v>6.5621056309958856</v>
      </c>
      <c r="BB99" s="208">
        <f t="shared" si="93"/>
        <v>6.4980021009875415</v>
      </c>
      <c r="BC99" s="208">
        <f t="shared" si="93"/>
        <v>6.3568709228375493</v>
      </c>
      <c r="BD99" s="209">
        <f t="shared" si="93"/>
        <v>57.838416946436539</v>
      </c>
      <c r="BE99" s="209">
        <f t="shared" si="93"/>
        <v>19.975215471015183</v>
      </c>
      <c r="BF99" s="209">
        <f t="shared" si="93"/>
        <v>11.071789782441469</v>
      </c>
      <c r="BG99" s="209">
        <f t="shared" si="93"/>
        <v>10.768396426626062</v>
      </c>
      <c r="BH99" s="208">
        <f t="shared" si="93"/>
        <v>9.2913947234298462</v>
      </c>
      <c r="BI99" s="208">
        <f t="shared" si="93"/>
        <v>11.589533576032384</v>
      </c>
      <c r="BJ99" s="208">
        <f t="shared" si="93"/>
        <v>9.5246429937307262</v>
      </c>
      <c r="BK99" s="208">
        <f t="shared" si="93"/>
        <v>7.8785455270028226</v>
      </c>
      <c r="BL99" s="209">
        <f t="shared" si="93"/>
        <v>9.212032726793387</v>
      </c>
      <c r="BM99" s="208">
        <f t="shared" si="93"/>
        <v>8.0930510349952893</v>
      </c>
      <c r="BN99" s="208">
        <f t="shared" si="93"/>
        <v>9.5363300836045433</v>
      </c>
      <c r="BO99" s="208">
        <f t="shared" si="93"/>
        <v>8.2295564128966099</v>
      </c>
      <c r="BP99" s="120"/>
    </row>
    <row r="100" spans="1:68" x14ac:dyDescent="0.2">
      <c r="B100" s="104" t="s">
        <v>718</v>
      </c>
      <c r="C100" s="164" t="s">
        <v>707</v>
      </c>
      <c r="M100" s="208">
        <f t="shared" ref="M100:AQ100" si="94">-(M24-M16)/M63/10</f>
        <v>6.3171823659180717</v>
      </c>
      <c r="N100" s="208">
        <f t="shared" si="94"/>
        <v>5.957597782145724</v>
      </c>
      <c r="O100" s="208">
        <f t="shared" si="94"/>
        <v>6.46581425456628</v>
      </c>
      <c r="P100" s="208">
        <f t="shared" si="94"/>
        <v>6.2037133564416802</v>
      </c>
      <c r="Q100" s="208">
        <f t="shared" si="94"/>
        <v>6.3271790607653644</v>
      </c>
      <c r="R100" s="208">
        <f t="shared" si="94"/>
        <v>6.2327394201191737</v>
      </c>
      <c r="S100" s="208">
        <f t="shared" si="94"/>
        <v>6.0273953049202156</v>
      </c>
      <c r="T100" s="208">
        <f t="shared" si="94"/>
        <v>6.4768174244334373</v>
      </c>
      <c r="U100" s="208">
        <f t="shared" si="94"/>
        <v>6.0072486933103022</v>
      </c>
      <c r="V100" s="208">
        <f t="shared" si="94"/>
        <v>5.4606038370059009</v>
      </c>
      <c r="W100" s="208">
        <f t="shared" si="94"/>
        <v>5.9836358157367808</v>
      </c>
      <c r="X100" s="208">
        <f t="shared" si="94"/>
        <v>5.4117938949811748</v>
      </c>
      <c r="Y100" s="208">
        <f t="shared" si="94"/>
        <v>5.4505685072449062</v>
      </c>
      <c r="Z100" s="208">
        <f t="shared" si="94"/>
        <v>5.0269741034702502</v>
      </c>
      <c r="AA100" s="208">
        <f t="shared" si="94"/>
        <v>4.8719334178844971</v>
      </c>
      <c r="AB100" s="208">
        <f t="shared" si="94"/>
        <v>5.182991514139748</v>
      </c>
      <c r="AC100" s="208">
        <f t="shared" si="94"/>
        <v>4.7597854030211391</v>
      </c>
      <c r="AD100" s="208">
        <f t="shared" si="94"/>
        <v>5.1809177268507671</v>
      </c>
      <c r="AE100" s="208">
        <f t="shared" si="94"/>
        <v>5.2044596625804189</v>
      </c>
      <c r="AF100" s="208">
        <f t="shared" si="94"/>
        <v>5.3202137672915528</v>
      </c>
      <c r="AG100" s="208">
        <f t="shared" si="94"/>
        <v>5.1142180379844913</v>
      </c>
      <c r="AH100" s="208">
        <f t="shared" si="94"/>
        <v>4.9984880386954931</v>
      </c>
      <c r="AI100" s="208">
        <f t="shared" si="94"/>
        <v>5.3984730854255245</v>
      </c>
      <c r="AJ100" s="208">
        <f t="shared" si="94"/>
        <v>5.2398370083797055</v>
      </c>
      <c r="AK100" s="208">
        <f t="shared" si="94"/>
        <v>5.2871878317112175</v>
      </c>
      <c r="AL100" s="208">
        <f t="shared" si="94"/>
        <v>5.2276612369696682</v>
      </c>
      <c r="AM100" s="208">
        <f t="shared" si="94"/>
        <v>5.0090313219702702</v>
      </c>
      <c r="AN100" s="208">
        <f t="shared" si="94"/>
        <v>5.0096467566936447</v>
      </c>
      <c r="AO100" s="208">
        <f t="shared" si="94"/>
        <v>4.2201715763198679</v>
      </c>
      <c r="AP100" s="208">
        <f t="shared" si="94"/>
        <v>4.463754550704194</v>
      </c>
      <c r="AQ100" s="208">
        <f t="shared" si="94"/>
        <v>4.6627438284171623</v>
      </c>
      <c r="AR100" s="208"/>
      <c r="AS100" s="208">
        <f t="shared" ref="AS100:BO100" si="95">-(AS24-AS16)/AS63/10</f>
        <v>4.8913736388876474</v>
      </c>
      <c r="AT100" s="208">
        <f t="shared" si="95"/>
        <v>4.870754041130601</v>
      </c>
      <c r="AU100" s="208">
        <f t="shared" si="95"/>
        <v>4.0970076945067957</v>
      </c>
      <c r="AV100" s="208">
        <f t="shared" si="95"/>
        <v>4.3348223543245501</v>
      </c>
      <c r="AW100" s="208">
        <f t="shared" si="95"/>
        <v>4.5358012028998953</v>
      </c>
      <c r="AX100" s="208">
        <f t="shared" si="95"/>
        <v>4.4660423419757098</v>
      </c>
      <c r="AY100" s="208">
        <f t="shared" si="95"/>
        <v>4.6171286287634947</v>
      </c>
      <c r="AZ100" s="208">
        <f t="shared" si="95"/>
        <v>4.4318381577226145</v>
      </c>
      <c r="BA100" s="208">
        <f t="shared" si="95"/>
        <v>4.6254498873846517</v>
      </c>
      <c r="BB100" s="208">
        <f t="shared" si="95"/>
        <v>4.5337065310160778</v>
      </c>
      <c r="BC100" s="208">
        <f t="shared" si="95"/>
        <v>4.5189821295944927</v>
      </c>
      <c r="BD100" s="209">
        <f t="shared" si="95"/>
        <v>54.316407327107456</v>
      </c>
      <c r="BE100" s="209">
        <f t="shared" si="95"/>
        <v>17.942199467214003</v>
      </c>
      <c r="BF100" s="209">
        <f t="shared" si="95"/>
        <v>9.4404571941427751</v>
      </c>
      <c r="BG100" s="209">
        <f t="shared" si="95"/>
        <v>8.892271676765592</v>
      </c>
      <c r="BH100" s="208">
        <f t="shared" si="95"/>
        <v>7.3465404590414511</v>
      </c>
      <c r="BI100" s="208">
        <f t="shared" si="95"/>
        <v>9.102555414245419</v>
      </c>
      <c r="BJ100" s="208">
        <f t="shared" si="95"/>
        <v>7.4381537882531976</v>
      </c>
      <c r="BK100" s="208">
        <f t="shared" si="95"/>
        <v>5.5755254114786066</v>
      </c>
      <c r="BL100" s="209">
        <f t="shared" si="95"/>
        <v>7.0123412846694091</v>
      </c>
      <c r="BM100" s="208">
        <f t="shared" si="95"/>
        <v>5.1965977326480424</v>
      </c>
      <c r="BN100" s="208">
        <f t="shared" si="95"/>
        <v>5.784746941715083</v>
      </c>
      <c r="BO100" s="208">
        <f t="shared" si="95"/>
        <v>4.610223391280547</v>
      </c>
      <c r="BP100" s="120"/>
    </row>
    <row r="102" spans="1:68" x14ac:dyDescent="0.2">
      <c r="A102" s="103" t="s">
        <v>719</v>
      </c>
      <c r="C102" s="105"/>
      <c r="D102" s="106"/>
      <c r="E102" s="106"/>
      <c r="F102" s="106"/>
      <c r="G102" s="106"/>
      <c r="H102" s="106"/>
      <c r="I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S102" s="106"/>
      <c r="AT102" s="106"/>
      <c r="AU102" s="106"/>
      <c r="AV102" s="106"/>
      <c r="AW102" s="106"/>
      <c r="AX102" s="106"/>
      <c r="AY102" s="106"/>
      <c r="AZ102" s="106"/>
      <c r="BA102" s="106"/>
      <c r="BB102" s="106"/>
      <c r="BC102" s="106"/>
      <c r="BD102" s="107"/>
      <c r="BE102" s="107"/>
      <c r="BF102" s="107"/>
      <c r="BG102" s="107"/>
      <c r="BH102" s="106"/>
      <c r="BI102" s="106"/>
      <c r="BJ102" s="106"/>
      <c r="BK102" s="106"/>
      <c r="BL102" s="107"/>
      <c r="BM102" s="106"/>
      <c r="BN102" s="106"/>
      <c r="BO102" s="106"/>
    </row>
    <row r="103" spans="1:68" ht="14.5" customHeight="1" x14ac:dyDescent="0.2">
      <c r="A103" s="1230" t="s">
        <v>343</v>
      </c>
      <c r="B103" s="1231"/>
      <c r="C103" s="108" t="s">
        <v>675</v>
      </c>
      <c r="D103" s="109" t="s">
        <v>676</v>
      </c>
      <c r="E103" s="109" t="s">
        <v>677</v>
      </c>
      <c r="F103" s="109" t="s">
        <v>678</v>
      </c>
      <c r="G103" s="109" t="s">
        <v>679</v>
      </c>
      <c r="H103" s="110" t="s">
        <v>680</v>
      </c>
      <c r="I103" s="109" t="s">
        <v>681</v>
      </c>
      <c r="J103" s="109" t="s">
        <v>682</v>
      </c>
      <c r="K103" s="109" t="s">
        <v>683</v>
      </c>
      <c r="L103" s="109" t="s">
        <v>684</v>
      </c>
      <c r="M103" s="111" t="s">
        <v>671</v>
      </c>
      <c r="N103" s="109" t="s">
        <v>619</v>
      </c>
      <c r="O103" s="109" t="s">
        <v>620</v>
      </c>
      <c r="P103" s="109" t="s">
        <v>621</v>
      </c>
      <c r="Q103" s="109" t="s">
        <v>622</v>
      </c>
      <c r="R103" s="111">
        <v>2013</v>
      </c>
      <c r="S103" s="109" t="s">
        <v>623</v>
      </c>
      <c r="T103" s="109" t="s">
        <v>624</v>
      </c>
      <c r="U103" s="109" t="s">
        <v>625</v>
      </c>
      <c r="V103" s="109" t="s">
        <v>626</v>
      </c>
      <c r="W103" s="111">
        <v>2014</v>
      </c>
      <c r="X103" s="109" t="s">
        <v>627</v>
      </c>
      <c r="Y103" s="109" t="s">
        <v>628</v>
      </c>
      <c r="Z103" s="109" t="s">
        <v>629</v>
      </c>
      <c r="AA103" s="109" t="s">
        <v>630</v>
      </c>
      <c r="AB103" s="111">
        <v>2015</v>
      </c>
      <c r="AC103" s="109" t="s">
        <v>631</v>
      </c>
      <c r="AD103" s="109" t="s">
        <v>632</v>
      </c>
      <c r="AE103" s="109" t="s">
        <v>633</v>
      </c>
      <c r="AF103" s="109" t="s">
        <v>634</v>
      </c>
      <c r="AG103" s="111">
        <v>2016</v>
      </c>
      <c r="AH103" s="109" t="s">
        <v>635</v>
      </c>
      <c r="AI103" s="109" t="s">
        <v>636</v>
      </c>
      <c r="AJ103" s="109" t="s">
        <v>637</v>
      </c>
      <c r="AK103" s="109" t="str">
        <f>$AK$7</f>
        <v>4Q17</v>
      </c>
      <c r="AL103" s="111">
        <f>$AL$7</f>
        <v>2017</v>
      </c>
      <c r="AM103" s="109" t="s">
        <v>639</v>
      </c>
      <c r="AN103" s="109" t="str">
        <f>AN61</f>
        <v>2Q18</v>
      </c>
      <c r="AO103" s="109" t="s">
        <v>641</v>
      </c>
      <c r="AP103" s="109" t="s">
        <v>642</v>
      </c>
      <c r="AQ103" s="111">
        <v>2018</v>
      </c>
      <c r="AS103" s="109" t="s">
        <v>639</v>
      </c>
      <c r="AT103" s="109" t="str">
        <f>AT61</f>
        <v>2Q18</v>
      </c>
      <c r="AU103" s="109" t="s">
        <v>641</v>
      </c>
      <c r="AV103" s="109" t="s">
        <v>642</v>
      </c>
      <c r="AW103" s="111">
        <v>2018</v>
      </c>
      <c r="AX103" s="109" t="s">
        <v>643</v>
      </c>
      <c r="AY103" s="109" t="str">
        <f>AY7</f>
        <v>2Q19</v>
      </c>
      <c r="AZ103" s="109" t="str">
        <f>AZ7</f>
        <v>3Q19</v>
      </c>
      <c r="BA103" s="109" t="str">
        <f>BA7</f>
        <v>4Q19</v>
      </c>
      <c r="BB103" s="111">
        <f>+BB$7</f>
        <v>2019</v>
      </c>
      <c r="BC103" s="109" t="str">
        <f>BC7</f>
        <v>1Q20</v>
      </c>
      <c r="BD103" s="112" t="str">
        <f>BD7</f>
        <v>2Q20</v>
      </c>
      <c r="BE103" s="112" t="str">
        <f>BE7</f>
        <v>3Q20</v>
      </c>
      <c r="BF103" s="112" t="str">
        <f>BF7</f>
        <v>4Q20</v>
      </c>
      <c r="BG103" s="113">
        <f>+BG$7</f>
        <v>2020</v>
      </c>
      <c r="BH103" s="109" t="str">
        <f>BH7</f>
        <v>1Q21</v>
      </c>
      <c r="BI103" s="109" t="str">
        <f>BI7</f>
        <v>2Q21</v>
      </c>
      <c r="BJ103" s="109" t="str">
        <f>BJ7</f>
        <v>3Q21</v>
      </c>
      <c r="BK103" s="109" t="str">
        <f>BK7</f>
        <v>4Q21</v>
      </c>
      <c r="BL103" s="113">
        <f>+BL$7</f>
        <v>2021</v>
      </c>
      <c r="BM103" s="109" t="str">
        <f>BM7</f>
        <v>1Q22</v>
      </c>
      <c r="BN103" s="109" t="str">
        <f>BN7</f>
        <v>2Q22</v>
      </c>
      <c r="BO103" s="109" t="str">
        <f>BO7</f>
        <v>3Q22</v>
      </c>
    </row>
    <row r="104" spans="1:68" x14ac:dyDescent="0.2">
      <c r="A104" s="126" t="s">
        <v>720</v>
      </c>
      <c r="C104" s="105" t="s">
        <v>687</v>
      </c>
      <c r="D104" s="210"/>
      <c r="E104" s="210"/>
      <c r="F104" s="210"/>
      <c r="G104" s="210"/>
      <c r="H104" s="210"/>
      <c r="I104" s="210">
        <v>7688022</v>
      </c>
      <c r="J104" s="210">
        <v>19587024</v>
      </c>
      <c r="K104" s="210">
        <v>20465303</v>
      </c>
      <c r="L104" s="210">
        <v>22326339</v>
      </c>
      <c r="M104" s="210">
        <v>22326339</v>
      </c>
      <c r="N104" s="210">
        <v>20861376</v>
      </c>
      <c r="O104" s="210">
        <v>21726902</v>
      </c>
      <c r="P104" s="210">
        <v>22220335</v>
      </c>
      <c r="Q104" s="210">
        <v>22631146</v>
      </c>
      <c r="R104" s="210">
        <v>22631146</v>
      </c>
      <c r="S104" s="210">
        <v>21678858</v>
      </c>
      <c r="T104" s="210">
        <v>21687203</v>
      </c>
      <c r="U104" s="210">
        <v>20647199</v>
      </c>
      <c r="V104" s="210">
        <v>20484430</v>
      </c>
      <c r="W104" s="210">
        <v>20484430</v>
      </c>
      <c r="X104" s="210">
        <v>18889680</v>
      </c>
      <c r="Y104" s="210">
        <v>19362449</v>
      </c>
      <c r="Z104" s="210">
        <v>17975027</v>
      </c>
      <c r="AA104" s="210">
        <v>18101418</v>
      </c>
      <c r="AB104" s="210">
        <v>18101418</v>
      </c>
      <c r="AC104" s="210">
        <v>18631847</v>
      </c>
      <c r="AD104" s="210">
        <v>19046697</v>
      </c>
      <c r="AE104" s="210">
        <v>19040158</v>
      </c>
      <c r="AF104" s="210">
        <v>19198194</v>
      </c>
      <c r="AG104" s="210">
        <f t="shared" ref="AG104:AG118" si="96">AF104</f>
        <v>19198194</v>
      </c>
      <c r="AH104" s="210">
        <v>19105401</v>
      </c>
      <c r="AI104" s="210">
        <v>19167187</v>
      </c>
      <c r="AJ104" s="210">
        <v>19126054</v>
      </c>
      <c r="AK104" s="210">
        <f>AK113+AK118</f>
        <v>18797972</v>
      </c>
      <c r="AL104" s="210">
        <f t="shared" ref="AL104:AL117" si="97">AK104</f>
        <v>18797972</v>
      </c>
      <c r="AM104" s="210">
        <f>AM113+AM118</f>
        <v>18688105</v>
      </c>
      <c r="AN104" s="210">
        <f>AN113+AN118</f>
        <v>17392130</v>
      </c>
      <c r="AO104" s="210">
        <v>17200917</v>
      </c>
      <c r="AP104" s="210">
        <v>17566777</v>
      </c>
      <c r="AQ104" s="210">
        <f t="shared" ref="AQ104:AQ117" si="98">AP104</f>
        <v>17566777</v>
      </c>
      <c r="AS104" s="210"/>
      <c r="AT104" s="210"/>
      <c r="AU104" s="210"/>
      <c r="AV104" s="210">
        <f>AV113+AV118</f>
        <v>20078722</v>
      </c>
      <c r="AW104" s="210">
        <f t="shared" ref="AW104:AW117" si="99">AV104</f>
        <v>20078722</v>
      </c>
      <c r="AX104" s="210">
        <f>AX113+AX118</f>
        <v>20225507</v>
      </c>
      <c r="AY104" s="210">
        <f>AY113+AY118</f>
        <v>20329044</v>
      </c>
      <c r="AZ104" s="210">
        <f>AZ113+AZ118</f>
        <v>20294830</v>
      </c>
      <c r="BA104" s="210">
        <f>BA113+BA118</f>
        <v>21087806</v>
      </c>
      <c r="BB104" s="210">
        <f t="shared" ref="BB104:BB117" si="100">BA104</f>
        <v>21087806</v>
      </c>
      <c r="BC104" s="210">
        <v>17480497</v>
      </c>
      <c r="BD104" s="211">
        <v>15761732</v>
      </c>
      <c r="BE104" s="211">
        <v>14962890</v>
      </c>
      <c r="BF104" s="211">
        <f>BF113+BF118</f>
        <v>15650090</v>
      </c>
      <c r="BG104" s="211">
        <f t="shared" ref="BG104:BG117" si="101">BF104</f>
        <v>15650090</v>
      </c>
      <c r="BH104" s="210">
        <f t="shared" ref="BH104:BK104" si="102">BH113+BH118</f>
        <v>14881175</v>
      </c>
      <c r="BI104" s="210">
        <f t="shared" si="102"/>
        <v>14834951</v>
      </c>
      <c r="BJ104" s="210">
        <f t="shared" si="102"/>
        <v>14438217</v>
      </c>
      <c r="BK104" s="210">
        <f t="shared" si="102"/>
        <v>13312434</v>
      </c>
      <c r="BL104" s="211">
        <f t="shared" ref="BL104:BL117" si="103">BK104</f>
        <v>13312434</v>
      </c>
      <c r="BM104" s="210">
        <f t="shared" ref="BM104:BO104" si="104">BM113+BM118</f>
        <v>13959720</v>
      </c>
      <c r="BN104" s="210">
        <f t="shared" si="104"/>
        <v>13757369</v>
      </c>
      <c r="BO104" s="210">
        <f t="shared" si="104"/>
        <v>13622617</v>
      </c>
    </row>
    <row r="105" spans="1:68" x14ac:dyDescent="0.2">
      <c r="B105" s="212" t="s">
        <v>345</v>
      </c>
      <c r="C105" s="105" t="s">
        <v>687</v>
      </c>
      <c r="D105" s="165"/>
      <c r="E105" s="165"/>
      <c r="F105" s="165"/>
      <c r="G105" s="165"/>
      <c r="H105" s="165"/>
      <c r="I105" s="165">
        <v>176569</v>
      </c>
      <c r="J105" s="165">
        <v>457545.5</v>
      </c>
      <c r="K105" s="165">
        <v>525079</v>
      </c>
      <c r="L105" s="165">
        <v>650263</v>
      </c>
      <c r="M105" s="165">
        <v>650263</v>
      </c>
      <c r="N105" s="165">
        <v>456710</v>
      </c>
      <c r="O105" s="165">
        <v>790929</v>
      </c>
      <c r="P105" s="165">
        <v>1024196</v>
      </c>
      <c r="Q105" s="165">
        <v>1984903</v>
      </c>
      <c r="R105" s="165">
        <v>1984903</v>
      </c>
      <c r="S105" s="165">
        <v>1161339</v>
      </c>
      <c r="T105" s="165">
        <v>1105789</v>
      </c>
      <c r="U105" s="165">
        <v>750309</v>
      </c>
      <c r="V105" s="165">
        <v>989396</v>
      </c>
      <c r="W105" s="165">
        <v>989396</v>
      </c>
      <c r="X105" s="165">
        <v>959160</v>
      </c>
      <c r="Y105" s="165">
        <v>1073971</v>
      </c>
      <c r="Z105" s="165">
        <v>1022926</v>
      </c>
      <c r="AA105" s="213">
        <v>753497</v>
      </c>
      <c r="AB105" s="213">
        <v>753497</v>
      </c>
      <c r="AC105" s="213">
        <v>768000</v>
      </c>
      <c r="AD105" s="213">
        <v>637397</v>
      </c>
      <c r="AE105" s="213">
        <v>708376</v>
      </c>
      <c r="AF105" s="213">
        <v>949327</v>
      </c>
      <c r="AG105" s="213">
        <f t="shared" si="96"/>
        <v>949327</v>
      </c>
      <c r="AH105" s="213">
        <v>853152</v>
      </c>
      <c r="AI105" s="213">
        <v>1150553</v>
      </c>
      <c r="AJ105" s="213">
        <v>939851</v>
      </c>
      <c r="AK105" s="213">
        <v>1142004</v>
      </c>
      <c r="AL105" s="213">
        <f t="shared" si="97"/>
        <v>1142004</v>
      </c>
      <c r="AM105" s="213">
        <v>814230</v>
      </c>
      <c r="AN105" s="213">
        <v>773889</v>
      </c>
      <c r="AO105" s="213">
        <v>686440</v>
      </c>
      <c r="AP105" s="213">
        <v>1081642</v>
      </c>
      <c r="AQ105" s="213">
        <f t="shared" si="98"/>
        <v>1081642</v>
      </c>
      <c r="AS105" s="213"/>
      <c r="AT105" s="213"/>
      <c r="AU105" s="213"/>
      <c r="AV105" s="213">
        <v>1081642</v>
      </c>
      <c r="AW105" s="213">
        <f t="shared" si="99"/>
        <v>1081642</v>
      </c>
      <c r="AX105" s="213">
        <v>1124326</v>
      </c>
      <c r="AY105" s="213">
        <v>1061348</v>
      </c>
      <c r="AZ105" s="213">
        <v>947442</v>
      </c>
      <c r="BA105" s="213">
        <v>1072579</v>
      </c>
      <c r="BB105" s="213">
        <f t="shared" si="100"/>
        <v>1072579</v>
      </c>
      <c r="BC105" s="213">
        <v>1510798</v>
      </c>
      <c r="BD105" s="214">
        <v>1334142</v>
      </c>
      <c r="BE105" s="214">
        <v>853468</v>
      </c>
      <c r="BF105" s="214">
        <v>1695841</v>
      </c>
      <c r="BG105" s="214">
        <f t="shared" si="101"/>
        <v>1695841</v>
      </c>
      <c r="BH105" s="213">
        <v>1330432</v>
      </c>
      <c r="BI105" s="213">
        <v>1534966</v>
      </c>
      <c r="BJ105" s="213">
        <v>930181</v>
      </c>
      <c r="BK105" s="213">
        <v>1046835</v>
      </c>
      <c r="BL105" s="214">
        <f t="shared" si="103"/>
        <v>1046835</v>
      </c>
      <c r="BM105" s="213">
        <v>1178908</v>
      </c>
      <c r="BN105" s="213">
        <v>1133350</v>
      </c>
      <c r="BO105" s="213">
        <v>897183</v>
      </c>
    </row>
    <row r="106" spans="1:68" x14ac:dyDescent="0.2">
      <c r="B106" s="212" t="s">
        <v>346</v>
      </c>
      <c r="C106" s="105" t="s">
        <v>687</v>
      </c>
      <c r="D106" s="165"/>
      <c r="E106" s="165"/>
      <c r="F106" s="165"/>
      <c r="G106" s="165"/>
      <c r="H106" s="165"/>
      <c r="I106" s="165">
        <v>219464</v>
      </c>
      <c r="J106" s="165">
        <v>892617</v>
      </c>
      <c r="K106" s="165">
        <v>649154</v>
      </c>
      <c r="L106" s="165">
        <v>636543</v>
      </c>
      <c r="M106" s="165">
        <v>636543</v>
      </c>
      <c r="N106" s="165">
        <v>424052</v>
      </c>
      <c r="O106" s="165">
        <v>540311</v>
      </c>
      <c r="P106" s="165">
        <v>837787</v>
      </c>
      <c r="Q106" s="165">
        <v>709944</v>
      </c>
      <c r="R106" s="165">
        <v>709944</v>
      </c>
      <c r="S106" s="165">
        <v>808619</v>
      </c>
      <c r="T106" s="165">
        <v>660058</v>
      </c>
      <c r="U106" s="165">
        <v>525717</v>
      </c>
      <c r="V106" s="165">
        <v>650401</v>
      </c>
      <c r="W106" s="165">
        <v>650401</v>
      </c>
      <c r="X106" s="165">
        <v>469354</v>
      </c>
      <c r="Y106" s="165">
        <v>567019</v>
      </c>
      <c r="Z106" s="165">
        <v>588276</v>
      </c>
      <c r="AA106" s="213">
        <v>651348</v>
      </c>
      <c r="AB106" s="213">
        <v>651348</v>
      </c>
      <c r="AC106" s="213">
        <v>604751</v>
      </c>
      <c r="AD106" s="213">
        <v>633727</v>
      </c>
      <c r="AE106" s="213">
        <v>697739</v>
      </c>
      <c r="AF106" s="213">
        <v>712828</v>
      </c>
      <c r="AG106" s="213">
        <f t="shared" si="96"/>
        <v>712828</v>
      </c>
      <c r="AH106" s="213">
        <v>652911</v>
      </c>
      <c r="AI106" s="213">
        <v>655040</v>
      </c>
      <c r="AJ106" s="213">
        <v>696754</v>
      </c>
      <c r="AK106" s="213">
        <v>559919</v>
      </c>
      <c r="AL106" s="213">
        <f t="shared" si="97"/>
        <v>559919</v>
      </c>
      <c r="AM106" s="213">
        <v>769605</v>
      </c>
      <c r="AN106" s="213">
        <v>514937</v>
      </c>
      <c r="AO106" s="213">
        <v>626723</v>
      </c>
      <c r="AP106" s="213">
        <v>383984</v>
      </c>
      <c r="AQ106" s="213">
        <f t="shared" si="98"/>
        <v>383984</v>
      </c>
      <c r="AS106" s="213"/>
      <c r="AT106" s="213"/>
      <c r="AU106" s="213"/>
      <c r="AV106" s="213">
        <v>383984</v>
      </c>
      <c r="AW106" s="213">
        <f t="shared" si="99"/>
        <v>383984</v>
      </c>
      <c r="AX106" s="213">
        <v>486401</v>
      </c>
      <c r="AY106" s="213">
        <v>396752</v>
      </c>
      <c r="AZ106" s="213">
        <v>535729</v>
      </c>
      <c r="BA106" s="213">
        <v>499504</v>
      </c>
      <c r="BB106" s="213">
        <f t="shared" si="100"/>
        <v>499504</v>
      </c>
      <c r="BC106" s="213">
        <v>263030</v>
      </c>
      <c r="BD106" s="214">
        <v>126067</v>
      </c>
      <c r="BE106" s="214">
        <v>78234</v>
      </c>
      <c r="BF106" s="214">
        <v>50250</v>
      </c>
      <c r="BG106" s="214">
        <f t="shared" si="101"/>
        <v>50250</v>
      </c>
      <c r="BH106" s="213">
        <v>57554</v>
      </c>
      <c r="BI106" s="213">
        <v>66775</v>
      </c>
      <c r="BJ106" s="213">
        <v>88181</v>
      </c>
      <c r="BK106" s="213">
        <v>101138</v>
      </c>
      <c r="BL106" s="214">
        <f t="shared" si="103"/>
        <v>101138</v>
      </c>
      <c r="BM106" s="213">
        <v>118123</v>
      </c>
      <c r="BN106" s="213">
        <v>155186</v>
      </c>
      <c r="BO106" s="213">
        <v>158802</v>
      </c>
    </row>
    <row r="107" spans="1:68" x14ac:dyDescent="0.2">
      <c r="B107" s="212" t="s">
        <v>347</v>
      </c>
      <c r="C107" s="105" t="s">
        <v>687</v>
      </c>
      <c r="D107" s="165"/>
      <c r="E107" s="165"/>
      <c r="F107" s="165"/>
      <c r="G107" s="165"/>
      <c r="H107" s="165"/>
      <c r="I107" s="165">
        <v>43649</v>
      </c>
      <c r="J107" s="165">
        <v>64183</v>
      </c>
      <c r="K107" s="165">
        <v>61590</v>
      </c>
      <c r="L107" s="165">
        <v>284404</v>
      </c>
      <c r="M107" s="165">
        <v>284404</v>
      </c>
      <c r="N107" s="165">
        <v>202892</v>
      </c>
      <c r="O107" s="165">
        <v>229342</v>
      </c>
      <c r="P107" s="165">
        <v>226207</v>
      </c>
      <c r="Q107" s="165">
        <v>335617</v>
      </c>
      <c r="R107" s="165">
        <v>335617</v>
      </c>
      <c r="S107" s="165">
        <v>328740</v>
      </c>
      <c r="T107" s="165">
        <v>295591</v>
      </c>
      <c r="U107" s="165">
        <v>239045</v>
      </c>
      <c r="V107" s="165">
        <v>247871</v>
      </c>
      <c r="W107" s="165">
        <v>247871</v>
      </c>
      <c r="X107" s="165">
        <v>317211</v>
      </c>
      <c r="Y107" s="165">
        <v>355254</v>
      </c>
      <c r="Z107" s="165">
        <v>344102</v>
      </c>
      <c r="AA107" s="213">
        <v>330016</v>
      </c>
      <c r="AB107" s="213">
        <v>330016</v>
      </c>
      <c r="AC107" s="213">
        <v>275583</v>
      </c>
      <c r="AD107" s="213">
        <v>302897</v>
      </c>
      <c r="AE107" s="213">
        <v>289036</v>
      </c>
      <c r="AF107" s="213">
        <v>212242</v>
      </c>
      <c r="AG107" s="213">
        <f t="shared" si="96"/>
        <v>212242</v>
      </c>
      <c r="AH107" s="213">
        <v>237040</v>
      </c>
      <c r="AI107" s="213">
        <v>252228</v>
      </c>
      <c r="AJ107" s="213">
        <v>258665</v>
      </c>
      <c r="AK107" s="213">
        <v>221188</v>
      </c>
      <c r="AL107" s="213">
        <f t="shared" si="97"/>
        <v>221188</v>
      </c>
      <c r="AM107" s="213">
        <v>276497</v>
      </c>
      <c r="AN107" s="213">
        <v>290178</v>
      </c>
      <c r="AO107" s="213">
        <v>273598</v>
      </c>
      <c r="AP107" s="213">
        <v>320977</v>
      </c>
      <c r="AQ107" s="213">
        <f t="shared" si="98"/>
        <v>320977</v>
      </c>
      <c r="AS107" s="213"/>
      <c r="AT107" s="213"/>
      <c r="AU107" s="213"/>
      <c r="AV107" s="213">
        <v>290476</v>
      </c>
      <c r="AW107" s="213">
        <f t="shared" si="99"/>
        <v>290476</v>
      </c>
      <c r="AX107" s="213">
        <v>259085</v>
      </c>
      <c r="AY107" s="213">
        <v>281441</v>
      </c>
      <c r="AZ107" s="213">
        <v>255613</v>
      </c>
      <c r="BA107" s="213">
        <v>313449</v>
      </c>
      <c r="BB107" s="213">
        <f t="shared" si="100"/>
        <v>313449</v>
      </c>
      <c r="BC107" s="213">
        <v>247612</v>
      </c>
      <c r="BD107" s="214">
        <v>206001</v>
      </c>
      <c r="BE107" s="214">
        <v>181323</v>
      </c>
      <c r="BF107" s="214">
        <v>155892</v>
      </c>
      <c r="BG107" s="214">
        <f t="shared" si="101"/>
        <v>155892</v>
      </c>
      <c r="BH107" s="213">
        <v>127844</v>
      </c>
      <c r="BI107" s="213">
        <v>134757</v>
      </c>
      <c r="BJ107" s="213">
        <v>101299</v>
      </c>
      <c r="BK107" s="213">
        <v>108368</v>
      </c>
      <c r="BL107" s="214">
        <f t="shared" si="103"/>
        <v>108368</v>
      </c>
      <c r="BM107" s="213">
        <v>159046</v>
      </c>
      <c r="BN107" s="213">
        <v>163037</v>
      </c>
      <c r="BO107" s="213">
        <v>172056</v>
      </c>
    </row>
    <row r="108" spans="1:68" x14ac:dyDescent="0.2">
      <c r="B108" s="212" t="s">
        <v>348</v>
      </c>
      <c r="C108" s="105" t="s">
        <v>687</v>
      </c>
      <c r="D108" s="165"/>
      <c r="E108" s="165"/>
      <c r="F108" s="165"/>
      <c r="G108" s="165"/>
      <c r="H108" s="165"/>
      <c r="I108" s="165">
        <v>542393</v>
      </c>
      <c r="J108" s="165">
        <v>1744483</v>
      </c>
      <c r="K108" s="165">
        <v>1778491</v>
      </c>
      <c r="L108" s="165">
        <v>1417531</v>
      </c>
      <c r="M108" s="165">
        <v>1417531</v>
      </c>
      <c r="N108" s="165">
        <v>1541432</v>
      </c>
      <c r="O108" s="165">
        <v>1708613</v>
      </c>
      <c r="P108" s="165">
        <v>1748112</v>
      </c>
      <c r="Q108" s="165">
        <v>1633094</v>
      </c>
      <c r="R108" s="165">
        <v>1633094</v>
      </c>
      <c r="S108" s="165">
        <v>1550482</v>
      </c>
      <c r="T108" s="165">
        <v>1467427</v>
      </c>
      <c r="U108" s="165">
        <v>1712607</v>
      </c>
      <c r="V108" s="165">
        <v>1378837</v>
      </c>
      <c r="W108" s="165">
        <v>1378837</v>
      </c>
      <c r="X108" s="165">
        <v>1016988</v>
      </c>
      <c r="Y108" s="165">
        <v>1149687</v>
      </c>
      <c r="Z108" s="165">
        <v>976144</v>
      </c>
      <c r="AA108" s="213">
        <v>796974</v>
      </c>
      <c r="AB108" s="213">
        <v>796974</v>
      </c>
      <c r="AC108" s="213">
        <v>815150</v>
      </c>
      <c r="AD108" s="213">
        <v>870274</v>
      </c>
      <c r="AE108" s="213">
        <v>916124</v>
      </c>
      <c r="AF108" s="213">
        <v>1107889</v>
      </c>
      <c r="AG108" s="213">
        <f t="shared" si="96"/>
        <v>1107889</v>
      </c>
      <c r="AH108" s="213">
        <v>1092090</v>
      </c>
      <c r="AI108" s="213">
        <v>1209183</v>
      </c>
      <c r="AJ108" s="213">
        <v>1209487</v>
      </c>
      <c r="AK108" s="213">
        <v>1214050</v>
      </c>
      <c r="AL108" s="213">
        <f t="shared" si="97"/>
        <v>1214050</v>
      </c>
      <c r="AM108" s="213">
        <v>1291933</v>
      </c>
      <c r="AN108" s="213">
        <v>1187476</v>
      </c>
      <c r="AO108" s="213">
        <v>1079096</v>
      </c>
      <c r="AP108" s="213">
        <v>1162582</v>
      </c>
      <c r="AQ108" s="213">
        <f t="shared" si="98"/>
        <v>1162582</v>
      </c>
      <c r="AS108" s="213"/>
      <c r="AT108" s="213"/>
      <c r="AU108" s="213"/>
      <c r="AV108" s="213">
        <v>1162582</v>
      </c>
      <c r="AW108" s="213">
        <f t="shared" si="99"/>
        <v>1162582</v>
      </c>
      <c r="AX108" s="213">
        <v>1125376</v>
      </c>
      <c r="AY108" s="213">
        <v>1208917</v>
      </c>
      <c r="AZ108" s="213">
        <v>1381583</v>
      </c>
      <c r="BA108" s="213">
        <v>1244348</v>
      </c>
      <c r="BB108" s="213">
        <f t="shared" si="100"/>
        <v>1244348</v>
      </c>
      <c r="BC108" s="213">
        <v>579912</v>
      </c>
      <c r="BD108" s="214">
        <v>463609</v>
      </c>
      <c r="BE108" s="214">
        <v>433993</v>
      </c>
      <c r="BF108" s="214">
        <v>599381</v>
      </c>
      <c r="BG108" s="214">
        <f t="shared" si="101"/>
        <v>599381</v>
      </c>
      <c r="BH108" s="213">
        <v>459411</v>
      </c>
      <c r="BI108" s="213">
        <v>603382</v>
      </c>
      <c r="BJ108" s="213">
        <v>721638</v>
      </c>
      <c r="BK108" s="213">
        <v>902672</v>
      </c>
      <c r="BL108" s="214">
        <f t="shared" si="103"/>
        <v>902672</v>
      </c>
      <c r="BM108" s="213">
        <v>1020882</v>
      </c>
      <c r="BN108" s="213">
        <v>1046228</v>
      </c>
      <c r="BO108" s="213">
        <v>1103707</v>
      </c>
    </row>
    <row r="109" spans="1:68" x14ac:dyDescent="0.2">
      <c r="B109" s="212" t="s">
        <v>349</v>
      </c>
      <c r="C109" s="105" t="s">
        <v>687</v>
      </c>
      <c r="D109" s="165"/>
      <c r="E109" s="165"/>
      <c r="F109" s="165"/>
      <c r="G109" s="165"/>
      <c r="H109" s="165"/>
      <c r="I109" s="165">
        <v>851</v>
      </c>
      <c r="J109" s="165">
        <v>648</v>
      </c>
      <c r="K109" s="165">
        <v>706</v>
      </c>
      <c r="L109" s="165">
        <v>15187</v>
      </c>
      <c r="M109" s="165">
        <v>15187</v>
      </c>
      <c r="N109" s="165">
        <v>1133</v>
      </c>
      <c r="O109" s="165">
        <v>1294</v>
      </c>
      <c r="P109" s="165">
        <v>671</v>
      </c>
      <c r="Q109" s="165">
        <v>628</v>
      </c>
      <c r="R109" s="165">
        <v>628</v>
      </c>
      <c r="S109" s="165">
        <v>302</v>
      </c>
      <c r="T109" s="165">
        <v>397</v>
      </c>
      <c r="U109" s="165">
        <v>385</v>
      </c>
      <c r="V109" s="165">
        <v>308</v>
      </c>
      <c r="W109" s="165">
        <v>308</v>
      </c>
      <c r="X109" s="165">
        <v>313</v>
      </c>
      <c r="Y109" s="165">
        <v>221</v>
      </c>
      <c r="Z109" s="165">
        <v>392</v>
      </c>
      <c r="AA109" s="213">
        <v>183</v>
      </c>
      <c r="AB109" s="213">
        <v>183</v>
      </c>
      <c r="AC109" s="213">
        <v>228</v>
      </c>
      <c r="AD109" s="213">
        <v>353</v>
      </c>
      <c r="AE109" s="213">
        <v>498</v>
      </c>
      <c r="AF109" s="213">
        <v>554</v>
      </c>
      <c r="AG109" s="213">
        <f t="shared" si="96"/>
        <v>554</v>
      </c>
      <c r="AH109" s="213">
        <v>668</v>
      </c>
      <c r="AI109" s="213">
        <v>600</v>
      </c>
      <c r="AJ109" s="213">
        <v>1117</v>
      </c>
      <c r="AK109" s="213">
        <v>2582</v>
      </c>
      <c r="AL109" s="213">
        <f t="shared" si="97"/>
        <v>2582</v>
      </c>
      <c r="AM109" s="213">
        <v>2284</v>
      </c>
      <c r="AN109" s="213">
        <v>1535</v>
      </c>
      <c r="AO109" s="213">
        <v>2132</v>
      </c>
      <c r="AP109" s="213">
        <v>2931</v>
      </c>
      <c r="AQ109" s="213">
        <f t="shared" si="98"/>
        <v>2931</v>
      </c>
      <c r="AS109" s="213"/>
      <c r="AT109" s="213"/>
      <c r="AU109" s="213"/>
      <c r="AV109" s="213">
        <v>2931</v>
      </c>
      <c r="AW109" s="213">
        <f t="shared" si="99"/>
        <v>2931</v>
      </c>
      <c r="AX109" s="213">
        <v>6549</v>
      </c>
      <c r="AY109" s="213">
        <v>6849</v>
      </c>
      <c r="AZ109" s="213">
        <v>12925</v>
      </c>
      <c r="BA109" s="213">
        <v>19645</v>
      </c>
      <c r="BB109" s="213">
        <f t="shared" si="100"/>
        <v>19645</v>
      </c>
      <c r="BC109" s="213">
        <v>20975</v>
      </c>
      <c r="BD109" s="214">
        <v>21691</v>
      </c>
      <c r="BE109" s="214">
        <v>581</v>
      </c>
      <c r="BF109" s="214">
        <v>158</v>
      </c>
      <c r="BG109" s="214">
        <f t="shared" si="101"/>
        <v>158</v>
      </c>
      <c r="BH109" s="213">
        <v>1474</v>
      </c>
      <c r="BI109" s="213">
        <v>609</v>
      </c>
      <c r="BJ109" s="213">
        <v>1330</v>
      </c>
      <c r="BK109" s="213">
        <v>724</v>
      </c>
      <c r="BL109" s="214">
        <f t="shared" si="103"/>
        <v>724</v>
      </c>
      <c r="BM109" s="213">
        <v>1666</v>
      </c>
      <c r="BN109" s="213">
        <v>1336</v>
      </c>
      <c r="BO109" s="213">
        <v>557</v>
      </c>
    </row>
    <row r="110" spans="1:68" x14ac:dyDescent="0.2">
      <c r="B110" s="212" t="s">
        <v>350</v>
      </c>
      <c r="C110" s="105" t="s">
        <v>687</v>
      </c>
      <c r="D110" s="165"/>
      <c r="E110" s="165"/>
      <c r="F110" s="165"/>
      <c r="G110" s="165"/>
      <c r="H110" s="165"/>
      <c r="I110" s="165">
        <v>85607</v>
      </c>
      <c r="J110" s="165">
        <v>147556</v>
      </c>
      <c r="K110" s="165">
        <v>171206</v>
      </c>
      <c r="L110" s="165">
        <v>176818</v>
      </c>
      <c r="M110" s="165">
        <v>176818</v>
      </c>
      <c r="N110" s="165">
        <v>203213</v>
      </c>
      <c r="O110" s="165">
        <v>207066</v>
      </c>
      <c r="P110" s="165">
        <v>232361</v>
      </c>
      <c r="Q110" s="165">
        <v>231028</v>
      </c>
      <c r="R110" s="165">
        <v>231028</v>
      </c>
      <c r="S110" s="165">
        <v>243760</v>
      </c>
      <c r="T110" s="165">
        <v>253931</v>
      </c>
      <c r="U110" s="165">
        <v>264536</v>
      </c>
      <c r="V110" s="165">
        <v>266039</v>
      </c>
      <c r="W110" s="165">
        <v>266039</v>
      </c>
      <c r="X110" s="165">
        <v>235494</v>
      </c>
      <c r="Y110" s="165">
        <v>231801</v>
      </c>
      <c r="Z110" s="165">
        <v>203512</v>
      </c>
      <c r="AA110" s="213">
        <v>224908</v>
      </c>
      <c r="AB110" s="213">
        <v>224908</v>
      </c>
      <c r="AC110" s="213">
        <v>229522</v>
      </c>
      <c r="AD110" s="213">
        <v>228436</v>
      </c>
      <c r="AE110" s="213">
        <v>222814</v>
      </c>
      <c r="AF110" s="213">
        <v>241363</v>
      </c>
      <c r="AG110" s="213">
        <f t="shared" si="96"/>
        <v>241363</v>
      </c>
      <c r="AH110" s="213">
        <v>235311</v>
      </c>
      <c r="AI110" s="213">
        <v>233691</v>
      </c>
      <c r="AJ110" s="213">
        <v>243457</v>
      </c>
      <c r="AK110" s="213">
        <v>236666</v>
      </c>
      <c r="AL110" s="213">
        <f t="shared" si="97"/>
        <v>236666</v>
      </c>
      <c r="AM110" s="213">
        <v>267329</v>
      </c>
      <c r="AN110" s="213">
        <v>247625</v>
      </c>
      <c r="AO110" s="213">
        <v>267710</v>
      </c>
      <c r="AP110" s="213">
        <v>279344</v>
      </c>
      <c r="AQ110" s="213">
        <f t="shared" si="98"/>
        <v>279344</v>
      </c>
      <c r="AS110" s="213"/>
      <c r="AT110" s="213"/>
      <c r="AU110" s="213"/>
      <c r="AV110" s="213">
        <v>279344</v>
      </c>
      <c r="AW110" s="213">
        <f t="shared" si="99"/>
        <v>279344</v>
      </c>
      <c r="AX110" s="213">
        <v>301659</v>
      </c>
      <c r="AY110" s="213">
        <v>335913</v>
      </c>
      <c r="AZ110" s="213">
        <v>368013</v>
      </c>
      <c r="BA110" s="213">
        <v>354232</v>
      </c>
      <c r="BB110" s="213">
        <f t="shared" si="100"/>
        <v>354232</v>
      </c>
      <c r="BC110" s="213">
        <v>360428</v>
      </c>
      <c r="BD110" s="214">
        <v>356933</v>
      </c>
      <c r="BE110" s="214">
        <v>313930</v>
      </c>
      <c r="BF110" s="214">
        <v>323574</v>
      </c>
      <c r="BG110" s="214">
        <f t="shared" si="101"/>
        <v>323574</v>
      </c>
      <c r="BH110" s="213">
        <v>297409</v>
      </c>
      <c r="BI110" s="213">
        <v>294841</v>
      </c>
      <c r="BJ110" s="213">
        <v>274458</v>
      </c>
      <c r="BK110" s="213">
        <v>287337</v>
      </c>
      <c r="BL110" s="214">
        <f t="shared" si="103"/>
        <v>287337</v>
      </c>
      <c r="BM110" s="213">
        <v>338246</v>
      </c>
      <c r="BN110" s="213">
        <v>341554</v>
      </c>
      <c r="BO110" s="213">
        <v>391102</v>
      </c>
    </row>
    <row r="111" spans="1:68" x14ac:dyDescent="0.2">
      <c r="B111" s="212" t="s">
        <v>351</v>
      </c>
      <c r="C111" s="105" t="s">
        <v>687</v>
      </c>
      <c r="D111" s="165"/>
      <c r="E111" s="165"/>
      <c r="F111" s="165"/>
      <c r="G111" s="165"/>
      <c r="H111" s="165"/>
      <c r="I111" s="165">
        <v>113982</v>
      </c>
      <c r="J111" s="165">
        <v>270783</v>
      </c>
      <c r="K111" s="165">
        <v>267823</v>
      </c>
      <c r="L111" s="165">
        <v>95785</v>
      </c>
      <c r="M111" s="165">
        <v>95785</v>
      </c>
      <c r="N111" s="165">
        <v>265486</v>
      </c>
      <c r="O111" s="165">
        <v>233635</v>
      </c>
      <c r="P111" s="165">
        <v>211455</v>
      </c>
      <c r="Q111" s="165">
        <v>81890</v>
      </c>
      <c r="R111" s="165">
        <v>81890</v>
      </c>
      <c r="S111" s="165">
        <v>104014</v>
      </c>
      <c r="T111" s="165">
        <v>101372</v>
      </c>
      <c r="U111" s="165">
        <v>100880</v>
      </c>
      <c r="V111" s="165">
        <v>100708</v>
      </c>
      <c r="W111" s="165">
        <v>100708</v>
      </c>
      <c r="X111" s="165">
        <v>74063</v>
      </c>
      <c r="Y111" s="165">
        <v>75715</v>
      </c>
      <c r="Z111" s="165">
        <v>71469</v>
      </c>
      <c r="AA111" s="213">
        <v>64015</v>
      </c>
      <c r="AB111" s="213">
        <v>64015</v>
      </c>
      <c r="AC111" s="213">
        <v>66850</v>
      </c>
      <c r="AD111" s="213">
        <v>80219</v>
      </c>
      <c r="AE111" s="213">
        <v>74572</v>
      </c>
      <c r="AF111" s="213">
        <v>65377</v>
      </c>
      <c r="AG111" s="213">
        <f t="shared" si="96"/>
        <v>65377</v>
      </c>
      <c r="AH111" s="213">
        <v>85755</v>
      </c>
      <c r="AI111" s="213">
        <v>92776</v>
      </c>
      <c r="AJ111" s="213">
        <v>85154</v>
      </c>
      <c r="AK111" s="213">
        <v>77987</v>
      </c>
      <c r="AL111" s="213">
        <f t="shared" si="97"/>
        <v>77987</v>
      </c>
      <c r="AM111" s="213">
        <v>82433</v>
      </c>
      <c r="AN111" s="213">
        <v>103176</v>
      </c>
      <c r="AO111" s="213">
        <v>81805</v>
      </c>
      <c r="AP111" s="213">
        <v>69134</v>
      </c>
      <c r="AQ111" s="213">
        <f t="shared" si="98"/>
        <v>69134</v>
      </c>
      <c r="AS111" s="213"/>
      <c r="AT111" s="213"/>
      <c r="AU111" s="213"/>
      <c r="AV111" s="213">
        <v>69134</v>
      </c>
      <c r="AW111" s="213">
        <f t="shared" si="99"/>
        <v>69134</v>
      </c>
      <c r="AX111" s="213">
        <v>64013</v>
      </c>
      <c r="AY111" s="213">
        <v>77421</v>
      </c>
      <c r="AZ111" s="213">
        <v>53365</v>
      </c>
      <c r="BA111" s="213">
        <v>29321</v>
      </c>
      <c r="BB111" s="213">
        <f t="shared" si="100"/>
        <v>29321</v>
      </c>
      <c r="BC111" s="213">
        <v>58704</v>
      </c>
      <c r="BD111" s="214">
        <v>61667</v>
      </c>
      <c r="BE111" s="214">
        <v>55584</v>
      </c>
      <c r="BF111" s="214">
        <v>42320</v>
      </c>
      <c r="BG111" s="214">
        <f t="shared" si="101"/>
        <v>42320</v>
      </c>
      <c r="BH111" s="213">
        <v>36863</v>
      </c>
      <c r="BI111" s="213">
        <v>42169</v>
      </c>
      <c r="BJ111" s="213">
        <v>40601</v>
      </c>
      <c r="BK111" s="213">
        <v>41264</v>
      </c>
      <c r="BL111" s="214">
        <f t="shared" si="103"/>
        <v>41264</v>
      </c>
      <c r="BM111" s="213">
        <v>51711</v>
      </c>
      <c r="BN111" s="213">
        <v>27972</v>
      </c>
      <c r="BO111" s="213">
        <v>58072</v>
      </c>
    </row>
    <row r="112" spans="1:68" x14ac:dyDescent="0.2">
      <c r="B112" s="212" t="s">
        <v>352</v>
      </c>
      <c r="C112" s="105" t="s">
        <v>687</v>
      </c>
      <c r="D112" s="165"/>
      <c r="E112" s="165"/>
      <c r="F112" s="165"/>
      <c r="G112" s="165"/>
      <c r="H112" s="165"/>
      <c r="I112" s="165">
        <v>9729</v>
      </c>
      <c r="J112" s="165">
        <v>33509.5</v>
      </c>
      <c r="K112" s="165">
        <v>12469</v>
      </c>
      <c r="L112" s="165">
        <v>47655</v>
      </c>
      <c r="M112" s="165">
        <v>47655</v>
      </c>
      <c r="N112" s="165">
        <v>11986</v>
      </c>
      <c r="O112" s="165">
        <v>10894</v>
      </c>
      <c r="P112" s="165">
        <v>11125</v>
      </c>
      <c r="Q112" s="165">
        <v>2445</v>
      </c>
      <c r="R112" s="165">
        <v>2445</v>
      </c>
      <c r="S112" s="165">
        <v>2237</v>
      </c>
      <c r="T112" s="165">
        <v>2542</v>
      </c>
      <c r="U112" s="165">
        <v>1098</v>
      </c>
      <c r="V112" s="165">
        <v>1064</v>
      </c>
      <c r="W112" s="165">
        <v>1064</v>
      </c>
      <c r="X112" s="165">
        <v>994</v>
      </c>
      <c r="Y112" s="165">
        <v>1001</v>
      </c>
      <c r="Z112" s="165">
        <v>929</v>
      </c>
      <c r="AA112" s="213">
        <v>1960</v>
      </c>
      <c r="AB112" s="213">
        <v>1960</v>
      </c>
      <c r="AC112" s="213">
        <v>2007</v>
      </c>
      <c r="AD112" s="213">
        <v>87809</v>
      </c>
      <c r="AE112" s="213">
        <v>40786</v>
      </c>
      <c r="AF112" s="213">
        <v>337195</v>
      </c>
      <c r="AG112" s="213">
        <f t="shared" si="96"/>
        <v>337195</v>
      </c>
      <c r="AH112" s="213">
        <v>350055</v>
      </c>
      <c r="AI112" s="213">
        <v>311104</v>
      </c>
      <c r="AJ112" s="213">
        <v>328872</v>
      </c>
      <c r="AK112" s="213">
        <v>291103</v>
      </c>
      <c r="AL112" s="213">
        <f t="shared" si="97"/>
        <v>291103</v>
      </c>
      <c r="AM112" s="213">
        <v>140586</v>
      </c>
      <c r="AN112" s="213">
        <v>28475</v>
      </c>
      <c r="AO112" s="213">
        <v>33791</v>
      </c>
      <c r="AP112" s="213">
        <v>5768</v>
      </c>
      <c r="AQ112" s="213">
        <f t="shared" si="98"/>
        <v>5768</v>
      </c>
      <c r="AS112" s="213"/>
      <c r="AT112" s="213"/>
      <c r="AU112" s="213"/>
      <c r="AV112" s="213">
        <v>5768</v>
      </c>
      <c r="AW112" s="213">
        <f t="shared" si="99"/>
        <v>5768</v>
      </c>
      <c r="AX112" s="213">
        <v>2006</v>
      </c>
      <c r="AY112" s="213">
        <v>51407</v>
      </c>
      <c r="AZ112" s="213">
        <v>363413</v>
      </c>
      <c r="BA112" s="213">
        <v>485150</v>
      </c>
      <c r="BB112" s="213">
        <f t="shared" si="100"/>
        <v>485150</v>
      </c>
      <c r="BC112" s="213">
        <v>465642</v>
      </c>
      <c r="BD112" s="214">
        <v>1648</v>
      </c>
      <c r="BE112" s="214">
        <v>1099</v>
      </c>
      <c r="BF112" s="214">
        <v>276122</v>
      </c>
      <c r="BG112" s="214">
        <f t="shared" si="101"/>
        <v>276122</v>
      </c>
      <c r="BH112" s="213">
        <v>230357</v>
      </c>
      <c r="BI112" s="213">
        <v>230377</v>
      </c>
      <c r="BJ112" s="213">
        <v>222780</v>
      </c>
      <c r="BK112" s="213">
        <v>146792</v>
      </c>
      <c r="BL112" s="214">
        <f t="shared" si="103"/>
        <v>146792</v>
      </c>
      <c r="BM112" s="213">
        <v>149334</v>
      </c>
      <c r="BN112" s="213">
        <v>143424</v>
      </c>
      <c r="BO112" s="213">
        <v>135670</v>
      </c>
    </row>
    <row r="113" spans="1:67" x14ac:dyDescent="0.2">
      <c r="B113" s="126" t="s">
        <v>721</v>
      </c>
      <c r="C113" s="105" t="s">
        <v>687</v>
      </c>
      <c r="D113" s="210"/>
      <c r="E113" s="210"/>
      <c r="F113" s="210"/>
      <c r="G113" s="210"/>
      <c r="H113" s="210"/>
      <c r="I113" s="210">
        <v>1192244</v>
      </c>
      <c r="J113" s="210">
        <v>3611325</v>
      </c>
      <c r="K113" s="210">
        <v>3466518</v>
      </c>
      <c r="L113" s="210">
        <v>3324186</v>
      </c>
      <c r="M113" s="210">
        <v>3324186</v>
      </c>
      <c r="N113" s="210">
        <v>3106904</v>
      </c>
      <c r="O113" s="210">
        <v>3722084</v>
      </c>
      <c r="P113" s="210">
        <v>4291914</v>
      </c>
      <c r="Q113" s="210">
        <v>4979549</v>
      </c>
      <c r="R113" s="210">
        <v>4979549</v>
      </c>
      <c r="S113" s="210">
        <v>4199493</v>
      </c>
      <c r="T113" s="210">
        <v>3887107</v>
      </c>
      <c r="U113" s="210">
        <v>3594577</v>
      </c>
      <c r="V113" s="210">
        <v>3634624</v>
      </c>
      <c r="W113" s="210">
        <v>3634624</v>
      </c>
      <c r="X113" s="210">
        <v>3073577</v>
      </c>
      <c r="Y113" s="210">
        <v>3454669</v>
      </c>
      <c r="Z113" s="210">
        <v>3207750</v>
      </c>
      <c r="AA113" s="210">
        <v>2822901</v>
      </c>
      <c r="AB113" s="210">
        <v>2822901</v>
      </c>
      <c r="AC113" s="210">
        <v>2762091</v>
      </c>
      <c r="AD113" s="210">
        <v>2841112</v>
      </c>
      <c r="AE113" s="210">
        <v>2949945</v>
      </c>
      <c r="AF113" s="210">
        <v>3626775</v>
      </c>
      <c r="AG113" s="210">
        <f t="shared" si="96"/>
        <v>3626775</v>
      </c>
      <c r="AH113" s="210">
        <v>3506982</v>
      </c>
      <c r="AI113" s="210">
        <v>3905175</v>
      </c>
      <c r="AJ113" s="210">
        <v>3763357</v>
      </c>
      <c r="AK113" s="210">
        <f>SUM(AK105:AK112)</f>
        <v>3745499</v>
      </c>
      <c r="AL113" s="210">
        <f t="shared" si="97"/>
        <v>3745499</v>
      </c>
      <c r="AM113" s="210">
        <f>SUM(AM105:AM112)</f>
        <v>3644897</v>
      </c>
      <c r="AN113" s="210">
        <f>SUM(AN105:AN112)</f>
        <v>3147291</v>
      </c>
      <c r="AO113" s="210">
        <f>SUM(AO105:AO112)</f>
        <v>3051295</v>
      </c>
      <c r="AP113" s="210">
        <v>3306362</v>
      </c>
      <c r="AQ113" s="210">
        <f t="shared" si="98"/>
        <v>3306362</v>
      </c>
      <c r="AS113" s="210"/>
      <c r="AT113" s="210"/>
      <c r="AU113" s="210"/>
      <c r="AV113" s="210">
        <f>SUM(AV105:AV112)</f>
        <v>3275861</v>
      </c>
      <c r="AW113" s="210">
        <f t="shared" si="99"/>
        <v>3275861</v>
      </c>
      <c r="AX113" s="210">
        <f>SUM(AX105:AX112)</f>
        <v>3369415</v>
      </c>
      <c r="AY113" s="210">
        <f>SUM(AY105:AY112)</f>
        <v>3420048</v>
      </c>
      <c r="AZ113" s="210">
        <f>SUM(AZ105:AZ112)</f>
        <v>3918083</v>
      </c>
      <c r="BA113" s="210">
        <f>SUM(BA105:BA112)</f>
        <v>4018228</v>
      </c>
      <c r="BB113" s="210">
        <f t="shared" si="100"/>
        <v>4018228</v>
      </c>
      <c r="BC113" s="210">
        <v>3507101</v>
      </c>
      <c r="BD113" s="211">
        <v>2571758</v>
      </c>
      <c r="BE113" s="211">
        <f>+SUM(BE105:BE112)</f>
        <v>1918212</v>
      </c>
      <c r="BF113" s="211">
        <f>SUM(BF105:BF112)</f>
        <v>3143538</v>
      </c>
      <c r="BG113" s="211">
        <f t="shared" si="101"/>
        <v>3143538</v>
      </c>
      <c r="BH113" s="210">
        <f t="shared" ref="BH113:BK113" si="105">SUM(BH105:BH112)</f>
        <v>2541344</v>
      </c>
      <c r="BI113" s="210">
        <f t="shared" si="105"/>
        <v>2907876</v>
      </c>
      <c r="BJ113" s="210">
        <f t="shared" si="105"/>
        <v>2380468</v>
      </c>
      <c r="BK113" s="210">
        <f t="shared" si="105"/>
        <v>2635130</v>
      </c>
      <c r="BL113" s="211">
        <f t="shared" si="103"/>
        <v>2635130</v>
      </c>
      <c r="BM113" s="210">
        <f t="shared" ref="BM113:BO113" si="106">SUM(BM105:BM112)</f>
        <v>3017916</v>
      </c>
      <c r="BN113" s="210">
        <f t="shared" si="106"/>
        <v>3012087</v>
      </c>
      <c r="BO113" s="210">
        <f t="shared" si="106"/>
        <v>2917149</v>
      </c>
    </row>
    <row r="114" spans="1:67" x14ac:dyDescent="0.2">
      <c r="B114" s="212" t="s">
        <v>354</v>
      </c>
      <c r="C114" s="105" t="s">
        <v>687</v>
      </c>
      <c r="D114" s="165"/>
      <c r="E114" s="165"/>
      <c r="F114" s="165"/>
      <c r="G114" s="165"/>
      <c r="H114" s="165"/>
      <c r="I114" s="165">
        <v>6089697</v>
      </c>
      <c r="J114" s="165">
        <v>11151929</v>
      </c>
      <c r="K114" s="165">
        <v>11930157</v>
      </c>
      <c r="L114" s="165">
        <v>11807076</v>
      </c>
      <c r="M114" s="165">
        <v>11807076</v>
      </c>
      <c r="N114" s="165">
        <v>12000489</v>
      </c>
      <c r="O114" s="165">
        <v>11219919</v>
      </c>
      <c r="P114" s="165">
        <v>11242447</v>
      </c>
      <c r="Q114" s="165">
        <v>10982786</v>
      </c>
      <c r="R114" s="165">
        <v>10982786</v>
      </c>
      <c r="S114" s="165">
        <v>10512372</v>
      </c>
      <c r="T114" s="165">
        <v>10675270</v>
      </c>
      <c r="U114" s="165">
        <v>10606011</v>
      </c>
      <c r="V114" s="165">
        <v>10773076</v>
      </c>
      <c r="W114" s="165">
        <v>10773076</v>
      </c>
      <c r="X114" s="165">
        <v>10637808</v>
      </c>
      <c r="Y114" s="165">
        <v>10676356</v>
      </c>
      <c r="Z114" s="165">
        <v>10558010</v>
      </c>
      <c r="AA114" s="213">
        <v>10938657</v>
      </c>
      <c r="AB114" s="213">
        <v>10938657</v>
      </c>
      <c r="AC114" s="213">
        <v>11116714</v>
      </c>
      <c r="AD114" s="213">
        <v>10997106</v>
      </c>
      <c r="AE114" s="213">
        <v>10899582</v>
      </c>
      <c r="AF114" s="213">
        <v>10498149</v>
      </c>
      <c r="AG114" s="213">
        <f t="shared" si="96"/>
        <v>10498149</v>
      </c>
      <c r="AH114" s="213">
        <v>10386506</v>
      </c>
      <c r="AI114" s="213">
        <v>10283856</v>
      </c>
      <c r="AJ114" s="213">
        <v>10179960</v>
      </c>
      <c r="AK114" s="213">
        <v>10065335</v>
      </c>
      <c r="AL114" s="213">
        <f t="shared" si="97"/>
        <v>10065335</v>
      </c>
      <c r="AM114" s="213">
        <v>10055224</v>
      </c>
      <c r="AN114" s="213">
        <v>9887245</v>
      </c>
      <c r="AO114" s="213">
        <v>9902049</v>
      </c>
      <c r="AP114" s="213">
        <v>9953365</v>
      </c>
      <c r="AQ114" s="213">
        <f t="shared" si="98"/>
        <v>9953365</v>
      </c>
      <c r="AS114" s="213"/>
      <c r="AT114" s="213"/>
      <c r="AU114" s="213"/>
      <c r="AV114" s="213">
        <v>12501809</v>
      </c>
      <c r="AW114" s="213">
        <f t="shared" si="99"/>
        <v>12501809</v>
      </c>
      <c r="AX114" s="213">
        <v>12565500</v>
      </c>
      <c r="AY114" s="213">
        <v>12580143</v>
      </c>
      <c r="AZ114" s="213">
        <v>12359187</v>
      </c>
      <c r="BA114" s="213">
        <v>12919618</v>
      </c>
      <c r="BB114" s="213">
        <f t="shared" si="100"/>
        <v>12919618</v>
      </c>
      <c r="BC114" s="213">
        <v>12599273</v>
      </c>
      <c r="BD114" s="214">
        <v>11826849</v>
      </c>
      <c r="BE114" s="214">
        <v>11594725</v>
      </c>
      <c r="BF114" s="214">
        <v>10730269</v>
      </c>
      <c r="BG114" s="214">
        <f t="shared" si="101"/>
        <v>10730269</v>
      </c>
      <c r="BH114" s="213">
        <v>10423473</v>
      </c>
      <c r="BI114" s="213">
        <v>9539855</v>
      </c>
      <c r="BJ114" s="213">
        <v>9618914</v>
      </c>
      <c r="BK114" s="213">
        <v>9489867</v>
      </c>
      <c r="BL114" s="214">
        <f t="shared" si="103"/>
        <v>9489867</v>
      </c>
      <c r="BM114" s="213">
        <v>9576603</v>
      </c>
      <c r="BN114" s="213">
        <v>9478411</v>
      </c>
      <c r="BO114" s="213">
        <v>9454180</v>
      </c>
    </row>
    <row r="115" spans="1:67" x14ac:dyDescent="0.2">
      <c r="B115" s="212" t="s">
        <v>355</v>
      </c>
      <c r="C115" s="105" t="s">
        <v>687</v>
      </c>
      <c r="D115" s="165"/>
      <c r="E115" s="165"/>
      <c r="F115" s="165"/>
      <c r="G115" s="165"/>
      <c r="H115" s="165"/>
      <c r="I115" s="165">
        <v>172178</v>
      </c>
      <c r="J115" s="165">
        <v>2229299</v>
      </c>
      <c r="K115" s="165">
        <v>2344616</v>
      </c>
      <c r="L115" s="165">
        <v>4213160</v>
      </c>
      <c r="M115" s="165">
        <v>4213160</v>
      </c>
      <c r="N115" s="165">
        <v>3264062</v>
      </c>
      <c r="O115" s="165">
        <v>3890181</v>
      </c>
      <c r="P115" s="165">
        <v>3867188</v>
      </c>
      <c r="Q115" s="165">
        <v>3727605</v>
      </c>
      <c r="R115" s="165">
        <v>3727605</v>
      </c>
      <c r="S115" s="165">
        <v>3850693</v>
      </c>
      <c r="T115" s="165">
        <v>3956638</v>
      </c>
      <c r="U115" s="165">
        <v>3565196</v>
      </c>
      <c r="V115" s="165">
        <v>3313401</v>
      </c>
      <c r="W115" s="165">
        <v>3313401</v>
      </c>
      <c r="X115" s="165">
        <v>2762163</v>
      </c>
      <c r="Y115" s="165">
        <v>2850897</v>
      </c>
      <c r="Z115" s="165">
        <v>2244869</v>
      </c>
      <c r="AA115" s="213">
        <v>2280575</v>
      </c>
      <c r="AB115" s="213">
        <v>2280575</v>
      </c>
      <c r="AC115" s="213">
        <v>2493114</v>
      </c>
      <c r="AD115" s="213">
        <v>2752135</v>
      </c>
      <c r="AE115" s="213">
        <v>2723629</v>
      </c>
      <c r="AF115" s="213">
        <v>2710382</v>
      </c>
      <c r="AG115" s="213">
        <f t="shared" si="96"/>
        <v>2710382</v>
      </c>
      <c r="AH115" s="213">
        <v>2787022</v>
      </c>
      <c r="AI115" s="213">
        <v>2671247</v>
      </c>
      <c r="AJ115" s="213">
        <v>2786047</v>
      </c>
      <c r="AK115" s="213">
        <v>2672550</v>
      </c>
      <c r="AL115" s="213">
        <f t="shared" si="97"/>
        <v>2672550</v>
      </c>
      <c r="AM115" s="213">
        <v>2665212</v>
      </c>
      <c r="AN115" s="213">
        <v>2310528</v>
      </c>
      <c r="AO115" s="213">
        <v>2229514</v>
      </c>
      <c r="AP115" s="213">
        <v>2294072</v>
      </c>
      <c r="AQ115" s="213">
        <f t="shared" si="98"/>
        <v>2294072</v>
      </c>
      <c r="AS115" s="213"/>
      <c r="AT115" s="213"/>
      <c r="AU115" s="213"/>
      <c r="AV115" s="213">
        <v>2294072</v>
      </c>
      <c r="AW115" s="213">
        <f t="shared" si="99"/>
        <v>2294072</v>
      </c>
      <c r="AX115" s="213">
        <v>2283269</v>
      </c>
      <c r="AY115" s="213">
        <v>2319106</v>
      </c>
      <c r="AZ115" s="213">
        <v>2139315</v>
      </c>
      <c r="BA115" s="213">
        <v>2209576</v>
      </c>
      <c r="BB115" s="213">
        <f t="shared" si="100"/>
        <v>2209576</v>
      </c>
      <c r="BC115" s="213">
        <v>0</v>
      </c>
      <c r="BD115" s="214">
        <v>0</v>
      </c>
      <c r="BE115" s="214">
        <v>0</v>
      </c>
      <c r="BF115" s="214">
        <v>0</v>
      </c>
      <c r="BG115" s="214">
        <f t="shared" si="101"/>
        <v>0</v>
      </c>
      <c r="BH115" s="213">
        <v>0</v>
      </c>
      <c r="BI115" s="213">
        <v>0</v>
      </c>
      <c r="BJ115" s="213">
        <v>0</v>
      </c>
      <c r="BK115" s="213">
        <v>0</v>
      </c>
      <c r="BL115" s="214">
        <f t="shared" si="103"/>
        <v>0</v>
      </c>
      <c r="BM115" s="213">
        <v>0</v>
      </c>
      <c r="BN115" s="213">
        <v>0</v>
      </c>
      <c r="BO115" s="213">
        <v>0</v>
      </c>
    </row>
    <row r="116" spans="1:67" x14ac:dyDescent="0.2">
      <c r="B116" s="212" t="s">
        <v>356</v>
      </c>
      <c r="C116" s="105" t="s">
        <v>687</v>
      </c>
      <c r="D116" s="165"/>
      <c r="E116" s="165"/>
      <c r="F116" s="165"/>
      <c r="G116" s="165"/>
      <c r="H116" s="165"/>
      <c r="I116" s="165">
        <v>71131</v>
      </c>
      <c r="J116" s="165">
        <v>1849340</v>
      </c>
      <c r="K116" s="165">
        <v>1847317</v>
      </c>
      <c r="L116" s="165">
        <v>2382399</v>
      </c>
      <c r="M116" s="165">
        <v>2382399</v>
      </c>
      <c r="N116" s="165">
        <v>1871828</v>
      </c>
      <c r="O116" s="165">
        <v>2202507</v>
      </c>
      <c r="P116" s="165">
        <v>2180958</v>
      </c>
      <c r="Q116" s="165">
        <v>2093308</v>
      </c>
      <c r="R116" s="165">
        <v>2093308</v>
      </c>
      <c r="S116" s="165">
        <v>2167777</v>
      </c>
      <c r="T116" s="165">
        <v>2223903</v>
      </c>
      <c r="U116" s="165">
        <v>2015562</v>
      </c>
      <c r="V116" s="165">
        <v>1880079</v>
      </c>
      <c r="W116" s="165">
        <v>1880079</v>
      </c>
      <c r="X116" s="165">
        <v>1567976</v>
      </c>
      <c r="Y116" s="165">
        <v>1618109</v>
      </c>
      <c r="Z116" s="165">
        <v>1286661</v>
      </c>
      <c r="AA116" s="213">
        <v>1321425</v>
      </c>
      <c r="AB116" s="213">
        <v>1321425</v>
      </c>
      <c r="AC116" s="213">
        <v>1443519</v>
      </c>
      <c r="AD116" s="213">
        <v>1591756</v>
      </c>
      <c r="AE116" s="213">
        <v>1606451</v>
      </c>
      <c r="AF116" s="213">
        <v>1610313</v>
      </c>
      <c r="AG116" s="213">
        <f t="shared" si="96"/>
        <v>1610313</v>
      </c>
      <c r="AH116" s="213">
        <v>1656336</v>
      </c>
      <c r="AI116" s="213">
        <v>1598041</v>
      </c>
      <c r="AJ116" s="213">
        <v>1665089</v>
      </c>
      <c r="AK116" s="213">
        <v>1617247</v>
      </c>
      <c r="AL116" s="213">
        <f t="shared" si="97"/>
        <v>1617247</v>
      </c>
      <c r="AM116" s="213">
        <v>1614703</v>
      </c>
      <c r="AN116" s="213">
        <v>1430913</v>
      </c>
      <c r="AO116" s="213">
        <v>1394263</v>
      </c>
      <c r="AP116" s="213">
        <v>1441072</v>
      </c>
      <c r="AQ116" s="213">
        <f t="shared" si="98"/>
        <v>1441072</v>
      </c>
      <c r="AS116" s="213"/>
      <c r="AT116" s="213"/>
      <c r="AU116" s="213"/>
      <c r="AV116" s="213">
        <v>1441072</v>
      </c>
      <c r="AW116" s="213">
        <f t="shared" si="99"/>
        <v>1441072</v>
      </c>
      <c r="AX116" s="213">
        <v>1434324</v>
      </c>
      <c r="AY116" s="213">
        <v>1456644</v>
      </c>
      <c r="AZ116" s="213">
        <v>1355640</v>
      </c>
      <c r="BA116" s="213">
        <v>1448241</v>
      </c>
      <c r="BB116" s="213">
        <f t="shared" si="100"/>
        <v>1448241</v>
      </c>
      <c r="BC116" s="213">
        <v>1134477</v>
      </c>
      <c r="BD116" s="214">
        <v>1008108</v>
      </c>
      <c r="BE116" s="214">
        <v>964575</v>
      </c>
      <c r="BF116" s="214">
        <v>1046559</v>
      </c>
      <c r="BG116" s="214">
        <f t="shared" si="101"/>
        <v>1046559</v>
      </c>
      <c r="BH116" s="213">
        <v>972518</v>
      </c>
      <c r="BI116" s="213">
        <v>1090906</v>
      </c>
      <c r="BJ116" s="213">
        <v>1019975</v>
      </c>
      <c r="BK116" s="213">
        <v>1018892</v>
      </c>
      <c r="BL116" s="214">
        <f t="shared" si="103"/>
        <v>1018892</v>
      </c>
      <c r="BM116" s="213">
        <v>1162655</v>
      </c>
      <c r="BN116" s="213">
        <v>1065485</v>
      </c>
      <c r="BO116" s="213">
        <v>1031745</v>
      </c>
    </row>
    <row r="117" spans="1:67" x14ac:dyDescent="0.2">
      <c r="B117" s="212" t="s">
        <v>357</v>
      </c>
      <c r="C117" s="105" t="s">
        <v>687</v>
      </c>
      <c r="D117" s="165"/>
      <c r="E117" s="165"/>
      <c r="F117" s="165"/>
      <c r="G117" s="165"/>
      <c r="H117" s="165"/>
      <c r="I117" s="165">
        <v>162772</v>
      </c>
      <c r="J117" s="165">
        <v>745131</v>
      </c>
      <c r="K117" s="165">
        <v>876695</v>
      </c>
      <c r="L117" s="165">
        <v>590514</v>
      </c>
      <c r="M117" s="165">
        <v>590514</v>
      </c>
      <c r="N117" s="165">
        <v>618093</v>
      </c>
      <c r="O117" s="165">
        <v>692211</v>
      </c>
      <c r="P117" s="165">
        <v>637828</v>
      </c>
      <c r="Q117" s="165">
        <v>847898</v>
      </c>
      <c r="R117" s="165">
        <v>847898</v>
      </c>
      <c r="S117" s="165">
        <v>948523</v>
      </c>
      <c r="T117" s="165">
        <v>944285</v>
      </c>
      <c r="U117" s="165">
        <v>865853</v>
      </c>
      <c r="V117" s="165">
        <v>883250</v>
      </c>
      <c r="W117" s="165">
        <v>883250</v>
      </c>
      <c r="X117" s="165">
        <v>848156</v>
      </c>
      <c r="Y117" s="165">
        <v>762418</v>
      </c>
      <c r="Z117" s="165">
        <v>677737</v>
      </c>
      <c r="AA117" s="213">
        <v>737860</v>
      </c>
      <c r="AB117" s="213">
        <v>737860</v>
      </c>
      <c r="AC117" s="213">
        <v>816409</v>
      </c>
      <c r="AD117" s="213">
        <v>864588</v>
      </c>
      <c r="AE117" s="213">
        <v>860551</v>
      </c>
      <c r="AF117" s="213">
        <v>752575</v>
      </c>
      <c r="AG117" s="213">
        <f t="shared" si="96"/>
        <v>752575</v>
      </c>
      <c r="AH117" s="213">
        <v>768555</v>
      </c>
      <c r="AI117" s="213">
        <v>708868</v>
      </c>
      <c r="AJ117" s="213">
        <f t="shared" ref="AJ117:AP117" si="107">AJ118-AJ114-AJ115-AJ116</f>
        <v>731601</v>
      </c>
      <c r="AK117" s="213">
        <f t="shared" si="107"/>
        <v>697341</v>
      </c>
      <c r="AL117" s="213">
        <f t="shared" si="97"/>
        <v>697341</v>
      </c>
      <c r="AM117" s="213">
        <f t="shared" si="107"/>
        <v>708069</v>
      </c>
      <c r="AN117" s="213">
        <f t="shared" si="107"/>
        <v>616153</v>
      </c>
      <c r="AO117" s="213">
        <f t="shared" si="107"/>
        <v>623796</v>
      </c>
      <c r="AP117" s="213">
        <f t="shared" si="107"/>
        <v>571906</v>
      </c>
      <c r="AQ117" s="213">
        <f t="shared" si="98"/>
        <v>571906</v>
      </c>
      <c r="AS117" s="213"/>
      <c r="AT117" s="213"/>
      <c r="AU117" s="213"/>
      <c r="AV117" s="213">
        <f t="shared" ref="AV117:BA117" si="108">AV118-AV114-AV115-AV116</f>
        <v>565908</v>
      </c>
      <c r="AW117" s="213">
        <f t="shared" si="99"/>
        <v>565908</v>
      </c>
      <c r="AX117" s="213">
        <f t="shared" si="108"/>
        <v>572999</v>
      </c>
      <c r="AY117" s="213">
        <f t="shared" si="108"/>
        <v>553103</v>
      </c>
      <c r="AZ117" s="213">
        <f t="shared" si="108"/>
        <v>522605</v>
      </c>
      <c r="BA117" s="213">
        <f t="shared" si="108"/>
        <v>492143</v>
      </c>
      <c r="BB117" s="213">
        <f t="shared" si="100"/>
        <v>492143</v>
      </c>
      <c r="BC117" s="213">
        <v>239646</v>
      </c>
      <c r="BD117" s="214">
        <v>355017</v>
      </c>
      <c r="BE117" s="214">
        <f>+BE118-BE116-BE115-BE114</f>
        <v>485378</v>
      </c>
      <c r="BF117" s="214">
        <f>BF118-BF114-BF115-BF116</f>
        <v>729724</v>
      </c>
      <c r="BG117" s="214">
        <f t="shared" si="101"/>
        <v>729724</v>
      </c>
      <c r="BH117" s="213">
        <f t="shared" ref="BH117:BK117" si="109">BH118-BH116-BH115-BH114</f>
        <v>943840</v>
      </c>
      <c r="BI117" s="213">
        <f t="shared" si="109"/>
        <v>1296314</v>
      </c>
      <c r="BJ117" s="213">
        <f t="shared" si="109"/>
        <v>1418860</v>
      </c>
      <c r="BK117" s="213">
        <f t="shared" si="109"/>
        <v>168545</v>
      </c>
      <c r="BL117" s="214">
        <f t="shared" si="103"/>
        <v>168545</v>
      </c>
      <c r="BM117" s="213">
        <f t="shared" ref="BM117:BN117" si="110">BM118-BM116-BM115-BM114</f>
        <v>202546</v>
      </c>
      <c r="BN117" s="213">
        <f t="shared" si="110"/>
        <v>201386</v>
      </c>
      <c r="BO117" s="213">
        <f>BO118-BO116-BO115-BO114</f>
        <v>219543</v>
      </c>
    </row>
    <row r="118" spans="1:67" x14ac:dyDescent="0.2">
      <c r="B118" s="126" t="s">
        <v>722</v>
      </c>
      <c r="C118" s="105" t="s">
        <v>687</v>
      </c>
      <c r="D118" s="210"/>
      <c r="E118" s="210"/>
      <c r="F118" s="210"/>
      <c r="G118" s="210"/>
      <c r="H118" s="210"/>
      <c r="I118" s="210">
        <v>6495778</v>
      </c>
      <c r="J118" s="210">
        <v>15975699</v>
      </c>
      <c r="K118" s="210">
        <v>16998785</v>
      </c>
      <c r="L118" s="210">
        <v>19002153</v>
      </c>
      <c r="M118" s="210">
        <v>19002153</v>
      </c>
      <c r="N118" s="210">
        <v>17754472</v>
      </c>
      <c r="O118" s="210">
        <v>18004818</v>
      </c>
      <c r="P118" s="210">
        <v>17928421</v>
      </c>
      <c r="Q118" s="210">
        <v>17651597</v>
      </c>
      <c r="R118" s="210">
        <v>17651597</v>
      </c>
      <c r="S118" s="210">
        <v>17479365</v>
      </c>
      <c r="T118" s="210">
        <v>17800096</v>
      </c>
      <c r="U118" s="210">
        <v>17052622</v>
      </c>
      <c r="V118" s="210">
        <v>16849806</v>
      </c>
      <c r="W118" s="210">
        <v>16849806</v>
      </c>
      <c r="X118" s="210">
        <v>15816103</v>
      </c>
      <c r="Y118" s="210">
        <v>15907780</v>
      </c>
      <c r="Z118" s="210">
        <v>14767277</v>
      </c>
      <c r="AA118" s="210">
        <v>15278517</v>
      </c>
      <c r="AB118" s="210">
        <v>15278517</v>
      </c>
      <c r="AC118" s="210">
        <v>15869756</v>
      </c>
      <c r="AD118" s="210">
        <v>16205585</v>
      </c>
      <c r="AE118" s="210">
        <v>16090213</v>
      </c>
      <c r="AF118" s="210">
        <v>15571419</v>
      </c>
      <c r="AG118" s="210">
        <f t="shared" si="96"/>
        <v>15571419</v>
      </c>
      <c r="AH118" s="210">
        <v>15598419</v>
      </c>
      <c r="AI118" s="210">
        <v>15262012</v>
      </c>
      <c r="AJ118" s="210">
        <v>15362697</v>
      </c>
      <c r="AK118" s="210">
        <v>15052473</v>
      </c>
      <c r="AL118" s="210">
        <f>AK118</f>
        <v>15052473</v>
      </c>
      <c r="AM118" s="210">
        <v>15043208</v>
      </c>
      <c r="AN118" s="210">
        <v>14244839</v>
      </c>
      <c r="AO118" s="210">
        <v>14149622</v>
      </c>
      <c r="AP118" s="210">
        <v>14260415</v>
      </c>
      <c r="AQ118" s="210">
        <f>AP118</f>
        <v>14260415</v>
      </c>
      <c r="AS118" s="210"/>
      <c r="AT118" s="210"/>
      <c r="AU118" s="210"/>
      <c r="AV118" s="210">
        <v>16802861</v>
      </c>
      <c r="AW118" s="210">
        <f>AV118</f>
        <v>16802861</v>
      </c>
      <c r="AX118" s="210">
        <v>16856092</v>
      </c>
      <c r="AY118" s="210">
        <v>16908996</v>
      </c>
      <c r="AZ118" s="210">
        <v>16376747</v>
      </c>
      <c r="BA118" s="210">
        <v>17069578</v>
      </c>
      <c r="BB118" s="210">
        <f>BA118</f>
        <v>17069578</v>
      </c>
      <c r="BC118" s="210">
        <v>13973396</v>
      </c>
      <c r="BD118" s="211">
        <v>13189974</v>
      </c>
      <c r="BE118" s="211">
        <v>13044678</v>
      </c>
      <c r="BF118" s="211">
        <v>12506552</v>
      </c>
      <c r="BG118" s="211">
        <f>BF118</f>
        <v>12506552</v>
      </c>
      <c r="BH118" s="210">
        <v>12339831</v>
      </c>
      <c r="BI118" s="210">
        <v>11927075</v>
      </c>
      <c r="BJ118" s="210">
        <v>12057749</v>
      </c>
      <c r="BK118" s="210">
        <v>10677304</v>
      </c>
      <c r="BL118" s="211">
        <f>BK118</f>
        <v>10677304</v>
      </c>
      <c r="BM118" s="210">
        <v>10941804</v>
      </c>
      <c r="BN118" s="210">
        <v>10745282</v>
      </c>
      <c r="BO118" s="210">
        <v>10705468</v>
      </c>
    </row>
    <row r="119" spans="1:67" ht="7.25" customHeight="1" x14ac:dyDescent="0.2">
      <c r="B119" s="126"/>
      <c r="C119" s="105"/>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c r="AA119" s="213"/>
      <c r="AB119" s="213"/>
      <c r="AC119" s="213"/>
      <c r="AD119" s="213"/>
      <c r="AE119" s="213"/>
      <c r="AF119" s="213"/>
      <c r="AG119" s="213"/>
      <c r="AH119" s="213"/>
      <c r="AI119" s="213"/>
      <c r="AJ119" s="213"/>
      <c r="AK119" s="213"/>
      <c r="AL119" s="213"/>
      <c r="AM119" s="213"/>
      <c r="AN119" s="213"/>
      <c r="AO119" s="213"/>
      <c r="AP119" s="213"/>
      <c r="AQ119" s="213"/>
      <c r="AS119" s="213"/>
      <c r="AT119" s="213"/>
      <c r="AU119" s="213"/>
      <c r="AV119" s="213"/>
      <c r="AW119" s="213"/>
      <c r="AX119" s="213"/>
      <c r="AY119" s="213"/>
      <c r="AZ119" s="213"/>
      <c r="BA119" s="213"/>
      <c r="BB119" s="213"/>
      <c r="BC119" s="210"/>
      <c r="BD119" s="211"/>
      <c r="BE119" s="211"/>
      <c r="BF119" s="214"/>
      <c r="BG119" s="214"/>
      <c r="BH119" s="210"/>
      <c r="BI119" s="210"/>
      <c r="BJ119" s="210"/>
      <c r="BK119" s="210"/>
      <c r="BL119" s="214"/>
      <c r="BM119" s="210"/>
      <c r="BN119" s="210"/>
      <c r="BO119" s="210"/>
    </row>
    <row r="120" spans="1:67" x14ac:dyDescent="0.2">
      <c r="A120" s="126" t="s">
        <v>723</v>
      </c>
      <c r="C120" s="105" t="s">
        <v>687</v>
      </c>
      <c r="D120" s="210"/>
      <c r="E120" s="210"/>
      <c r="F120" s="210"/>
      <c r="G120" s="210"/>
      <c r="H120" s="210"/>
      <c r="I120" s="210">
        <v>7688022</v>
      </c>
      <c r="J120" s="210">
        <v>19642024</v>
      </c>
      <c r="K120" s="210">
        <v>20465303</v>
      </c>
      <c r="L120" s="210">
        <v>22326339</v>
      </c>
      <c r="M120" s="210">
        <v>22326339</v>
      </c>
      <c r="N120" s="210">
        <v>20861376</v>
      </c>
      <c r="O120" s="210">
        <v>21726902</v>
      </c>
      <c r="P120" s="210">
        <v>22220335</v>
      </c>
      <c r="Q120" s="210">
        <v>22631146</v>
      </c>
      <c r="R120" s="210">
        <v>22631146</v>
      </c>
      <c r="S120" s="210">
        <v>21678858</v>
      </c>
      <c r="T120" s="210">
        <v>21687203</v>
      </c>
      <c r="U120" s="210">
        <v>20647199</v>
      </c>
      <c r="V120" s="210">
        <v>20484430</v>
      </c>
      <c r="W120" s="210">
        <v>20484430</v>
      </c>
      <c r="X120" s="210">
        <v>18889680</v>
      </c>
      <c r="Y120" s="210">
        <v>19362449</v>
      </c>
      <c r="Z120" s="210">
        <v>17975027</v>
      </c>
      <c r="AA120" s="210">
        <v>18101418</v>
      </c>
      <c r="AB120" s="210">
        <v>18101418</v>
      </c>
      <c r="AC120" s="210">
        <v>18631847</v>
      </c>
      <c r="AD120" s="210">
        <v>19046697</v>
      </c>
      <c r="AE120" s="210">
        <v>19040158</v>
      </c>
      <c r="AF120" s="210">
        <v>19198194</v>
      </c>
      <c r="AG120" s="210">
        <v>19198194</v>
      </c>
      <c r="AH120" s="210">
        <v>19105401</v>
      </c>
      <c r="AI120" s="210">
        <v>19167187</v>
      </c>
      <c r="AJ120" s="210">
        <v>19126054</v>
      </c>
      <c r="AK120" s="210">
        <f>AK104</f>
        <v>18797972</v>
      </c>
      <c r="AL120" s="210">
        <f t="shared" ref="AL120:AL141" si="111">AK120</f>
        <v>18797972</v>
      </c>
      <c r="AM120" s="210">
        <f>AM104</f>
        <v>18688105</v>
      </c>
      <c r="AN120" s="210">
        <f>AN104</f>
        <v>17392130</v>
      </c>
      <c r="AO120" s="210">
        <f>AO104</f>
        <v>17200917</v>
      </c>
      <c r="AP120" s="210">
        <f>AP104</f>
        <v>17566777</v>
      </c>
      <c r="AQ120" s="210">
        <f t="shared" ref="AQ120:AQ141" si="112">AP120</f>
        <v>17566777</v>
      </c>
      <c r="AS120" s="210"/>
      <c r="AT120" s="210"/>
      <c r="AU120" s="210"/>
      <c r="AV120" s="210">
        <v>20078722</v>
      </c>
      <c r="AW120" s="210">
        <f t="shared" ref="AW120:AW141" si="113">AV120</f>
        <v>20078722</v>
      </c>
      <c r="AX120" s="210">
        <f>AX104</f>
        <v>20225507</v>
      </c>
      <c r="AY120" s="210">
        <f>AY104</f>
        <v>20329044</v>
      </c>
      <c r="AZ120" s="210">
        <f>AZ104</f>
        <v>20294830</v>
      </c>
      <c r="BA120" s="210">
        <f>BA104</f>
        <v>21087806</v>
      </c>
      <c r="BB120" s="210">
        <f t="shared" ref="BB120:BB141" si="114">BA120</f>
        <v>21087806</v>
      </c>
      <c r="BC120" s="210">
        <v>17480497</v>
      </c>
      <c r="BD120" s="211">
        <f>+BD104</f>
        <v>15761732</v>
      </c>
      <c r="BE120" s="211">
        <f>+BE104</f>
        <v>14962890</v>
      </c>
      <c r="BF120" s="211">
        <f>BF104</f>
        <v>15650090</v>
      </c>
      <c r="BG120" s="211">
        <f t="shared" ref="BG120:BG134" si="115">BF120</f>
        <v>15650090</v>
      </c>
      <c r="BH120" s="210">
        <f t="shared" ref="BH120:BK120" si="116">BH134+BH142</f>
        <v>14881175</v>
      </c>
      <c r="BI120" s="210">
        <f t="shared" si="116"/>
        <v>14834951</v>
      </c>
      <c r="BJ120" s="210">
        <f t="shared" si="116"/>
        <v>14438217</v>
      </c>
      <c r="BK120" s="210">
        <f t="shared" si="116"/>
        <v>13312434</v>
      </c>
      <c r="BL120" s="211">
        <f t="shared" ref="BL120:BL134" si="117">BK120</f>
        <v>13312434</v>
      </c>
      <c r="BM120" s="210">
        <f t="shared" ref="BM120:BO120" si="118">BM134+BM142</f>
        <v>13959720</v>
      </c>
      <c r="BN120" s="210">
        <f t="shared" si="118"/>
        <v>13757369</v>
      </c>
      <c r="BO120" s="210">
        <f t="shared" si="118"/>
        <v>13622617</v>
      </c>
    </row>
    <row r="121" spans="1:67" x14ac:dyDescent="0.2">
      <c r="B121" s="212" t="s">
        <v>360</v>
      </c>
      <c r="C121" s="105" t="s">
        <v>687</v>
      </c>
      <c r="D121" s="165"/>
      <c r="E121" s="165"/>
      <c r="F121" s="165"/>
      <c r="G121" s="165"/>
      <c r="H121" s="165"/>
      <c r="I121" s="165">
        <v>606814</v>
      </c>
      <c r="J121" s="165">
        <v>1758071</v>
      </c>
      <c r="K121" s="165">
        <v>1828292</v>
      </c>
      <c r="L121" s="165">
        <v>2047330</v>
      </c>
      <c r="M121" s="165">
        <v>2047330</v>
      </c>
      <c r="N121" s="165">
        <v>1856828</v>
      </c>
      <c r="O121" s="165">
        <v>2288537</v>
      </c>
      <c r="P121" s="165">
        <v>2750837</v>
      </c>
      <c r="Q121" s="165">
        <v>2039787</v>
      </c>
      <c r="R121" s="165">
        <v>2039787</v>
      </c>
      <c r="S121" s="165">
        <v>1520960</v>
      </c>
      <c r="T121" s="165">
        <v>1522347</v>
      </c>
      <c r="U121" s="165">
        <v>1562138</v>
      </c>
      <c r="V121" s="165">
        <v>1624615</v>
      </c>
      <c r="W121" s="165">
        <v>1624615</v>
      </c>
      <c r="X121" s="165">
        <v>1582113</v>
      </c>
      <c r="Y121" s="165">
        <v>1541608</v>
      </c>
      <c r="Z121" s="165">
        <v>1629078</v>
      </c>
      <c r="AA121" s="213">
        <v>1644235</v>
      </c>
      <c r="AB121" s="213">
        <v>1644235</v>
      </c>
      <c r="AC121" s="213">
        <v>1641563</v>
      </c>
      <c r="AD121" s="213">
        <v>1883447</v>
      </c>
      <c r="AE121" s="213">
        <v>1877987</v>
      </c>
      <c r="AF121" s="213">
        <v>1839528</v>
      </c>
      <c r="AG121" s="213">
        <f t="shared" ref="AG121:AG134" si="119">AF121</f>
        <v>1839528</v>
      </c>
      <c r="AH121" s="213">
        <v>1823888</v>
      </c>
      <c r="AI121" s="213">
        <v>1475538</v>
      </c>
      <c r="AJ121" s="213">
        <v>1366619</v>
      </c>
      <c r="AK121" s="213">
        <v>1300949</v>
      </c>
      <c r="AL121" s="213">
        <f t="shared" si="111"/>
        <v>1300949</v>
      </c>
      <c r="AM121" s="213">
        <v>1299350</v>
      </c>
      <c r="AN121" s="213">
        <v>1390660</v>
      </c>
      <c r="AO121" s="213">
        <v>1481167</v>
      </c>
      <c r="AP121" s="213">
        <v>1430789</v>
      </c>
      <c r="AQ121" s="213">
        <f t="shared" si="112"/>
        <v>1430789</v>
      </c>
      <c r="AS121" s="213"/>
      <c r="AT121" s="213"/>
      <c r="AU121" s="213"/>
      <c r="AV121" s="213">
        <v>1794286</v>
      </c>
      <c r="AW121" s="213">
        <f t="shared" si="113"/>
        <v>1794286</v>
      </c>
      <c r="AX121" s="213">
        <v>1790900</v>
      </c>
      <c r="AY121" s="213">
        <v>2314264</v>
      </c>
      <c r="AZ121" s="213">
        <v>2125965</v>
      </c>
      <c r="BA121" s="213">
        <v>1885660</v>
      </c>
      <c r="BB121" s="213">
        <f t="shared" si="114"/>
        <v>1885660</v>
      </c>
      <c r="BC121" s="213">
        <v>2116549</v>
      </c>
      <c r="BD121" s="214">
        <v>2321770</v>
      </c>
      <c r="BE121" s="214">
        <v>2757343</v>
      </c>
      <c r="BF121" s="214">
        <v>3055730</v>
      </c>
      <c r="BG121" s="214">
        <f t="shared" si="115"/>
        <v>3055730</v>
      </c>
      <c r="BH121" s="213">
        <v>3809249</v>
      </c>
      <c r="BI121" s="213">
        <v>5142150</v>
      </c>
      <c r="BJ121" s="213">
        <v>4414438</v>
      </c>
      <c r="BK121" s="213">
        <v>4453451</v>
      </c>
      <c r="BL121" s="214">
        <f t="shared" si="117"/>
        <v>4453451</v>
      </c>
      <c r="BM121" s="213">
        <v>4926472</v>
      </c>
      <c r="BN121" s="213">
        <v>5449761</v>
      </c>
      <c r="BO121" s="213">
        <v>5538738</v>
      </c>
    </row>
    <row r="122" spans="1:67" x14ac:dyDescent="0.2">
      <c r="B122" s="212" t="s">
        <v>361</v>
      </c>
      <c r="C122" s="105" t="s">
        <v>687</v>
      </c>
      <c r="D122" s="165"/>
      <c r="E122" s="165"/>
      <c r="F122" s="165"/>
      <c r="G122" s="165"/>
      <c r="H122" s="165"/>
      <c r="I122" s="165">
        <v>648137</v>
      </c>
      <c r="J122" s="165">
        <v>1401946</v>
      </c>
      <c r="K122" s="165">
        <v>1567512</v>
      </c>
      <c r="L122" s="165">
        <v>1689990</v>
      </c>
      <c r="M122" s="165">
        <v>1689990</v>
      </c>
      <c r="N122" s="165">
        <v>1608712</v>
      </c>
      <c r="O122" s="165">
        <v>1579466</v>
      </c>
      <c r="P122" s="165">
        <v>1568090</v>
      </c>
      <c r="Q122" s="165">
        <v>1557736</v>
      </c>
      <c r="R122" s="165">
        <v>1557736</v>
      </c>
      <c r="S122" s="165">
        <v>1535315</v>
      </c>
      <c r="T122" s="165">
        <v>1609260</v>
      </c>
      <c r="U122" s="165">
        <v>1632289</v>
      </c>
      <c r="V122" s="165">
        <v>1489396</v>
      </c>
      <c r="W122" s="165">
        <v>1489396</v>
      </c>
      <c r="X122" s="165">
        <v>1360225</v>
      </c>
      <c r="Y122" s="165">
        <v>1504935</v>
      </c>
      <c r="Z122" s="165">
        <v>1390531</v>
      </c>
      <c r="AA122" s="213">
        <v>1483957</v>
      </c>
      <c r="AB122" s="213">
        <v>1483957</v>
      </c>
      <c r="AC122" s="213">
        <v>1452837</v>
      </c>
      <c r="AD122" s="213">
        <v>1550070</v>
      </c>
      <c r="AE122" s="213">
        <v>1539219</v>
      </c>
      <c r="AF122" s="213">
        <v>1593068</v>
      </c>
      <c r="AG122" s="213">
        <f t="shared" si="119"/>
        <v>1593068</v>
      </c>
      <c r="AH122" s="213">
        <v>1512804</v>
      </c>
      <c r="AI122" s="213">
        <v>1475362</v>
      </c>
      <c r="AJ122" s="213">
        <v>1623541</v>
      </c>
      <c r="AK122" s="213">
        <v>1695202</v>
      </c>
      <c r="AL122" s="213">
        <f t="shared" si="111"/>
        <v>1695202</v>
      </c>
      <c r="AM122" s="213">
        <v>1673944</v>
      </c>
      <c r="AN122" s="213">
        <v>1534476</v>
      </c>
      <c r="AO122" s="213">
        <v>1652473</v>
      </c>
      <c r="AP122" s="213">
        <v>1674303</v>
      </c>
      <c r="AQ122" s="213">
        <f t="shared" si="112"/>
        <v>1674303</v>
      </c>
      <c r="AS122" s="213"/>
      <c r="AT122" s="213"/>
      <c r="AU122" s="213"/>
      <c r="AV122" s="213">
        <v>1674303</v>
      </c>
      <c r="AW122" s="213">
        <f t="shared" si="113"/>
        <v>1674303</v>
      </c>
      <c r="AX122" s="213">
        <v>1704729</v>
      </c>
      <c r="AY122" s="213">
        <v>1687751</v>
      </c>
      <c r="AZ122" s="213">
        <v>1872513</v>
      </c>
      <c r="BA122" s="213">
        <v>2222874</v>
      </c>
      <c r="BB122" s="213">
        <f t="shared" si="114"/>
        <v>2222874</v>
      </c>
      <c r="BC122" s="213">
        <v>1980570</v>
      </c>
      <c r="BD122" s="214">
        <v>2286185</v>
      </c>
      <c r="BE122" s="214">
        <v>2087043</v>
      </c>
      <c r="BF122" s="214">
        <v>2322125</v>
      </c>
      <c r="BG122" s="214">
        <f t="shared" si="115"/>
        <v>2322125</v>
      </c>
      <c r="BH122" s="165">
        <f>BH125-BH121-BH123-BH124</f>
        <v>2246359</v>
      </c>
      <c r="BI122" s="165">
        <v>3070138</v>
      </c>
      <c r="BJ122" s="165">
        <v>3198390</v>
      </c>
      <c r="BK122" s="165">
        <v>4860153</v>
      </c>
      <c r="BL122" s="214">
        <f t="shared" si="117"/>
        <v>4860153</v>
      </c>
      <c r="BM122" s="165">
        <v>5213745</v>
      </c>
      <c r="BN122" s="165">
        <v>5239238</v>
      </c>
      <c r="BO122" s="165">
        <v>5404606</v>
      </c>
    </row>
    <row r="123" spans="1:67" x14ac:dyDescent="0.2">
      <c r="B123" s="212" t="s">
        <v>362</v>
      </c>
      <c r="C123" s="105" t="s">
        <v>687</v>
      </c>
      <c r="D123" s="165"/>
      <c r="E123" s="165"/>
      <c r="F123" s="165"/>
      <c r="G123" s="165"/>
      <c r="H123" s="165"/>
      <c r="I123" s="165">
        <v>40774</v>
      </c>
      <c r="J123" s="165">
        <v>92617</v>
      </c>
      <c r="K123" s="165">
        <v>102484</v>
      </c>
      <c r="L123" s="165">
        <v>14512</v>
      </c>
      <c r="M123" s="165">
        <v>14512</v>
      </c>
      <c r="N123" s="165">
        <v>115944</v>
      </c>
      <c r="O123" s="165">
        <v>107284</v>
      </c>
      <c r="P123" s="165">
        <v>109418</v>
      </c>
      <c r="Q123" s="165">
        <v>505</v>
      </c>
      <c r="R123" s="165">
        <v>505</v>
      </c>
      <c r="S123" s="165">
        <v>595</v>
      </c>
      <c r="T123" s="165">
        <v>415</v>
      </c>
      <c r="U123" s="165">
        <v>346</v>
      </c>
      <c r="V123" s="165">
        <v>35</v>
      </c>
      <c r="W123" s="165">
        <v>35</v>
      </c>
      <c r="X123" s="165">
        <v>57</v>
      </c>
      <c r="Y123" s="165">
        <v>59</v>
      </c>
      <c r="Z123" s="165">
        <v>19444</v>
      </c>
      <c r="AA123" s="213">
        <v>19378</v>
      </c>
      <c r="AB123" s="213">
        <v>19378</v>
      </c>
      <c r="AC123" s="213">
        <v>25799</v>
      </c>
      <c r="AD123" s="213">
        <v>24906</v>
      </c>
      <c r="AE123" s="213">
        <v>31735</v>
      </c>
      <c r="AF123" s="213">
        <v>14286</v>
      </c>
      <c r="AG123" s="213">
        <f t="shared" si="119"/>
        <v>14286</v>
      </c>
      <c r="AH123" s="213">
        <v>18440</v>
      </c>
      <c r="AI123" s="213">
        <v>14146</v>
      </c>
      <c r="AJ123" s="213">
        <v>2939</v>
      </c>
      <c r="AK123" s="213">
        <v>3511</v>
      </c>
      <c r="AL123" s="213">
        <f t="shared" si="111"/>
        <v>3511</v>
      </c>
      <c r="AM123" s="213">
        <v>2922</v>
      </c>
      <c r="AN123" s="213">
        <v>5245</v>
      </c>
      <c r="AO123" s="213">
        <v>8218</v>
      </c>
      <c r="AP123" s="213">
        <v>3738</v>
      </c>
      <c r="AQ123" s="213">
        <f t="shared" si="112"/>
        <v>3738</v>
      </c>
      <c r="AS123" s="213"/>
      <c r="AT123" s="213"/>
      <c r="AU123" s="213"/>
      <c r="AV123" s="213">
        <v>3738</v>
      </c>
      <c r="AW123" s="213">
        <f t="shared" si="113"/>
        <v>3738</v>
      </c>
      <c r="AX123" s="213">
        <v>3699</v>
      </c>
      <c r="AY123" s="213">
        <v>2199</v>
      </c>
      <c r="AZ123" s="213">
        <v>6027</v>
      </c>
      <c r="BA123" s="213">
        <v>11925</v>
      </c>
      <c r="BB123" s="213">
        <f t="shared" si="114"/>
        <v>11925</v>
      </c>
      <c r="BC123" s="213">
        <v>2930</v>
      </c>
      <c r="BD123" s="214">
        <v>2376</v>
      </c>
      <c r="BE123" s="214">
        <v>3351</v>
      </c>
      <c r="BF123" s="214">
        <v>656</v>
      </c>
      <c r="BG123" s="214">
        <f t="shared" si="115"/>
        <v>656</v>
      </c>
      <c r="BH123" s="213">
        <v>1552</v>
      </c>
      <c r="BI123" s="213">
        <v>3469</v>
      </c>
      <c r="BJ123" s="213">
        <v>5924</v>
      </c>
      <c r="BK123" s="213">
        <v>675</v>
      </c>
      <c r="BL123" s="214">
        <f t="shared" si="117"/>
        <v>675</v>
      </c>
      <c r="BM123" s="213">
        <v>676</v>
      </c>
      <c r="BN123" s="213">
        <v>3999</v>
      </c>
      <c r="BO123" s="213">
        <v>3637</v>
      </c>
    </row>
    <row r="124" spans="1:67" x14ac:dyDescent="0.2">
      <c r="B124" s="212" t="s">
        <v>363</v>
      </c>
      <c r="C124" s="105" t="s">
        <v>687</v>
      </c>
      <c r="D124" s="165"/>
      <c r="E124" s="165"/>
      <c r="F124" s="165"/>
      <c r="G124" s="165"/>
      <c r="H124" s="165"/>
      <c r="I124" s="165">
        <v>939848</v>
      </c>
      <c r="J124" s="165">
        <v>2055140</v>
      </c>
      <c r="K124" s="165">
        <v>2083343</v>
      </c>
      <c r="L124" s="165">
        <v>2545735</v>
      </c>
      <c r="M124" s="165">
        <v>2545735</v>
      </c>
      <c r="N124" s="165">
        <v>1824015</v>
      </c>
      <c r="O124" s="165">
        <v>2508076</v>
      </c>
      <c r="P124" s="165">
        <v>2614537</v>
      </c>
      <c r="Q124" s="165">
        <v>2911079</v>
      </c>
      <c r="R124" s="165">
        <v>2911079</v>
      </c>
      <c r="S124" s="165">
        <v>2821743</v>
      </c>
      <c r="T124" s="165">
        <v>2814076</v>
      </c>
      <c r="U124" s="165">
        <v>2765753</v>
      </c>
      <c r="V124" s="165">
        <v>2715686</v>
      </c>
      <c r="W124" s="165">
        <v>2715686</v>
      </c>
      <c r="X124" s="165">
        <v>2333089</v>
      </c>
      <c r="Y124" s="165">
        <v>2645526</v>
      </c>
      <c r="Z124" s="165">
        <v>2392528</v>
      </c>
      <c r="AA124" s="213">
        <v>2493402</v>
      </c>
      <c r="AB124" s="213">
        <v>2493402</v>
      </c>
      <c r="AC124" s="213">
        <v>2471361</v>
      </c>
      <c r="AD124" s="213">
        <v>2761558</v>
      </c>
      <c r="AE124" s="213">
        <v>2604903</v>
      </c>
      <c r="AF124" s="213">
        <v>2775309</v>
      </c>
      <c r="AG124" s="213">
        <f t="shared" si="119"/>
        <v>2775309</v>
      </c>
      <c r="AH124" s="213">
        <v>2710423</v>
      </c>
      <c r="AI124" s="213">
        <v>2808683</v>
      </c>
      <c r="AJ124" s="213">
        <f t="shared" ref="AJ124:AP124" si="120">AJ125-AJ121-AJ122-AJ123</f>
        <v>2808635</v>
      </c>
      <c r="AK124" s="213">
        <f t="shared" si="120"/>
        <v>2843052</v>
      </c>
      <c r="AL124" s="213">
        <f t="shared" si="111"/>
        <v>2843052</v>
      </c>
      <c r="AM124" s="213">
        <f t="shared" si="120"/>
        <v>2962388</v>
      </c>
      <c r="AN124" s="213">
        <f t="shared" si="120"/>
        <v>2702087</v>
      </c>
      <c r="AO124" s="213">
        <f t="shared" si="120"/>
        <v>2512410</v>
      </c>
      <c r="AP124" s="213">
        <f t="shared" si="120"/>
        <v>2459922</v>
      </c>
      <c r="AQ124" s="213">
        <f t="shared" si="112"/>
        <v>2459922</v>
      </c>
      <c r="AS124" s="213"/>
      <c r="AT124" s="213"/>
      <c r="AU124" s="213"/>
      <c r="AV124" s="213">
        <f t="shared" ref="AV124:BA124" si="121">AV125-AV121-AV122-AV123</f>
        <v>2459922</v>
      </c>
      <c r="AW124" s="213">
        <f t="shared" si="113"/>
        <v>2459922</v>
      </c>
      <c r="AX124" s="213">
        <f t="shared" si="121"/>
        <v>2301413</v>
      </c>
      <c r="AY124" s="213">
        <f t="shared" si="121"/>
        <v>2442420</v>
      </c>
      <c r="AZ124" s="213">
        <f t="shared" si="121"/>
        <v>2588873</v>
      </c>
      <c r="BA124" s="213">
        <f t="shared" si="121"/>
        <v>2840483</v>
      </c>
      <c r="BB124" s="213">
        <f t="shared" si="114"/>
        <v>2840483</v>
      </c>
      <c r="BC124" s="213">
        <v>2201185</v>
      </c>
      <c r="BD124" s="214">
        <v>2030135</v>
      </c>
      <c r="BE124" s="214">
        <f>+BE125-BE123-BE122-BE121</f>
        <v>1945080</v>
      </c>
      <c r="BF124" s="214">
        <f>BF125-BF121-BF122-BF123</f>
        <v>2113377</v>
      </c>
      <c r="BG124" s="214">
        <f t="shared" si="115"/>
        <v>2113377</v>
      </c>
      <c r="BH124" s="213">
        <v>1950686</v>
      </c>
      <c r="BI124" s="214">
        <f>BI125-BI121-BI122-BI123</f>
        <v>2772037</v>
      </c>
      <c r="BJ124" s="214">
        <f>BJ125-BJ121-BJ122-BJ123</f>
        <v>2948620</v>
      </c>
      <c r="BK124" s="214">
        <f>BK125-BK121-BK122-BK123</f>
        <v>3022050</v>
      </c>
      <c r="BL124" s="214">
        <f t="shared" si="117"/>
        <v>3022050</v>
      </c>
      <c r="BM124" s="214">
        <f>BM125-BM121-BM122-BM123</f>
        <v>3191434</v>
      </c>
      <c r="BN124" s="214">
        <f>BN125-BN121-BN122-BN123</f>
        <v>2822807</v>
      </c>
      <c r="BO124" s="214">
        <f>BO125-BO121-BO122-BO123</f>
        <v>2918002</v>
      </c>
    </row>
    <row r="125" spans="1:67" x14ac:dyDescent="0.2">
      <c r="B125" s="126" t="s">
        <v>724</v>
      </c>
      <c r="C125" s="105" t="s">
        <v>687</v>
      </c>
      <c r="D125" s="210"/>
      <c r="E125" s="210"/>
      <c r="F125" s="210"/>
      <c r="G125" s="210"/>
      <c r="H125" s="210"/>
      <c r="I125" s="210">
        <v>2235573</v>
      </c>
      <c r="J125" s="210">
        <v>5307774</v>
      </c>
      <c r="K125" s="210">
        <v>5581631</v>
      </c>
      <c r="L125" s="210">
        <v>6297567</v>
      </c>
      <c r="M125" s="210">
        <v>6297567</v>
      </c>
      <c r="N125" s="210">
        <v>5405499</v>
      </c>
      <c r="O125" s="210">
        <v>6483363</v>
      </c>
      <c r="P125" s="210">
        <v>7042882</v>
      </c>
      <c r="Q125" s="210">
        <v>6509107</v>
      </c>
      <c r="R125" s="210">
        <v>6509107</v>
      </c>
      <c r="S125" s="210">
        <v>5878613</v>
      </c>
      <c r="T125" s="210">
        <v>5946098</v>
      </c>
      <c r="U125" s="210">
        <v>5960526</v>
      </c>
      <c r="V125" s="210">
        <v>5829732</v>
      </c>
      <c r="W125" s="210">
        <v>5829732</v>
      </c>
      <c r="X125" s="210">
        <v>5275484</v>
      </c>
      <c r="Y125" s="210">
        <v>5692128</v>
      </c>
      <c r="Z125" s="210">
        <v>5431581</v>
      </c>
      <c r="AA125" s="210">
        <v>5640972</v>
      </c>
      <c r="AB125" s="210">
        <v>5640972</v>
      </c>
      <c r="AC125" s="210">
        <v>5591560</v>
      </c>
      <c r="AD125" s="210">
        <v>6219981</v>
      </c>
      <c r="AE125" s="210">
        <v>6053844</v>
      </c>
      <c r="AF125" s="210">
        <v>6222191</v>
      </c>
      <c r="AG125" s="210">
        <f t="shared" si="119"/>
        <v>6222191</v>
      </c>
      <c r="AH125" s="210">
        <v>6065555</v>
      </c>
      <c r="AI125" s="210">
        <v>5773729</v>
      </c>
      <c r="AJ125" s="210">
        <v>5801734</v>
      </c>
      <c r="AK125" s="210">
        <v>5842714</v>
      </c>
      <c r="AL125" s="210">
        <f t="shared" si="111"/>
        <v>5842714</v>
      </c>
      <c r="AM125" s="210">
        <v>5938604</v>
      </c>
      <c r="AN125" s="210">
        <v>5632468</v>
      </c>
      <c r="AO125" s="210">
        <v>5654268</v>
      </c>
      <c r="AP125" s="210">
        <v>5568752</v>
      </c>
      <c r="AQ125" s="210">
        <f t="shared" si="112"/>
        <v>5568752</v>
      </c>
      <c r="AS125" s="210"/>
      <c r="AT125" s="210"/>
      <c r="AU125" s="210"/>
      <c r="AV125" s="210">
        <v>5932249</v>
      </c>
      <c r="AW125" s="210">
        <f t="shared" si="113"/>
        <v>5932249</v>
      </c>
      <c r="AX125" s="210">
        <v>5800741</v>
      </c>
      <c r="AY125" s="210">
        <v>6446634</v>
      </c>
      <c r="AZ125" s="210">
        <v>6593378</v>
      </c>
      <c r="BA125" s="210">
        <v>6960942</v>
      </c>
      <c r="BB125" s="210">
        <f t="shared" si="114"/>
        <v>6960942</v>
      </c>
      <c r="BC125" s="210">
        <v>6301234</v>
      </c>
      <c r="BD125" s="211">
        <v>6640466</v>
      </c>
      <c r="BE125" s="211">
        <v>6792817</v>
      </c>
      <c r="BF125" s="211">
        <v>7491888</v>
      </c>
      <c r="BG125" s="211">
        <f t="shared" si="115"/>
        <v>7491888</v>
      </c>
      <c r="BH125" s="210">
        <v>8007846</v>
      </c>
      <c r="BI125" s="210">
        <v>10987794</v>
      </c>
      <c r="BJ125" s="210">
        <v>10567372</v>
      </c>
      <c r="BK125" s="210">
        <v>12336329</v>
      </c>
      <c r="BL125" s="211">
        <f t="shared" si="117"/>
        <v>12336329</v>
      </c>
      <c r="BM125" s="210">
        <v>13332327</v>
      </c>
      <c r="BN125" s="210">
        <v>13515805</v>
      </c>
      <c r="BO125" s="210">
        <v>13864983</v>
      </c>
    </row>
    <row r="126" spans="1:67" x14ac:dyDescent="0.2">
      <c r="B126" s="212" t="s">
        <v>360</v>
      </c>
      <c r="C126" s="105" t="s">
        <v>687</v>
      </c>
      <c r="D126" s="165"/>
      <c r="E126" s="165"/>
      <c r="F126" s="165"/>
      <c r="G126" s="165"/>
      <c r="H126" s="165"/>
      <c r="I126" s="165">
        <v>3150376</v>
      </c>
      <c r="J126" s="165">
        <v>6905351</v>
      </c>
      <c r="K126" s="165">
        <v>7456451</v>
      </c>
      <c r="L126" s="165">
        <v>7698857</v>
      </c>
      <c r="M126" s="165">
        <v>7698857</v>
      </c>
      <c r="N126" s="165">
        <v>7948954</v>
      </c>
      <c r="O126" s="165">
        <v>7662477</v>
      </c>
      <c r="P126" s="165">
        <v>7504633</v>
      </c>
      <c r="Q126" s="165">
        <v>7859985</v>
      </c>
      <c r="R126" s="165">
        <v>7859985</v>
      </c>
      <c r="S126" s="165">
        <v>7287079</v>
      </c>
      <c r="T126" s="165">
        <v>7193924</v>
      </c>
      <c r="U126" s="165">
        <v>7039081</v>
      </c>
      <c r="V126" s="165">
        <v>7389012</v>
      </c>
      <c r="W126" s="165">
        <v>7389012</v>
      </c>
      <c r="X126" s="165">
        <v>7301440</v>
      </c>
      <c r="Y126" s="165">
        <v>7291899</v>
      </c>
      <c r="Z126" s="165">
        <v>7338891</v>
      </c>
      <c r="AA126" s="213">
        <v>7532385</v>
      </c>
      <c r="AB126" s="213">
        <v>7532385</v>
      </c>
      <c r="AC126" s="213">
        <v>7687404</v>
      </c>
      <c r="AD126" s="213">
        <v>7118950</v>
      </c>
      <c r="AE126" s="213">
        <v>7234727</v>
      </c>
      <c r="AF126" s="213">
        <v>6796952</v>
      </c>
      <c r="AG126" s="213">
        <f t="shared" si="119"/>
        <v>6796952</v>
      </c>
      <c r="AH126" s="213">
        <v>6628478</v>
      </c>
      <c r="AI126" s="213">
        <v>7244858</v>
      </c>
      <c r="AJ126" s="213">
        <v>6824242</v>
      </c>
      <c r="AK126" s="213">
        <v>6605508</v>
      </c>
      <c r="AL126" s="213">
        <f t="shared" si="111"/>
        <v>6605508</v>
      </c>
      <c r="AM126" s="213">
        <v>6348814</v>
      </c>
      <c r="AN126" s="213">
        <v>6116921</v>
      </c>
      <c r="AO126" s="213">
        <v>6122463</v>
      </c>
      <c r="AP126" s="213">
        <v>5864910</v>
      </c>
      <c r="AQ126" s="213">
        <f t="shared" si="112"/>
        <v>5864910</v>
      </c>
      <c r="AS126" s="213"/>
      <c r="AT126" s="213"/>
      <c r="AU126" s="213"/>
      <c r="AV126" s="213">
        <v>8359462</v>
      </c>
      <c r="AW126" s="213">
        <f t="shared" si="113"/>
        <v>8359462</v>
      </c>
      <c r="AX126" s="213">
        <v>8790470</v>
      </c>
      <c r="AY126" s="213">
        <v>8341443</v>
      </c>
      <c r="AZ126" s="213">
        <v>8432493</v>
      </c>
      <c r="BA126" s="213">
        <v>8530418</v>
      </c>
      <c r="BB126" s="213">
        <f t="shared" si="114"/>
        <v>8530418</v>
      </c>
      <c r="BC126" s="213">
        <v>8712172</v>
      </c>
      <c r="BD126" s="214">
        <v>7610059</v>
      </c>
      <c r="BE126" s="214">
        <v>7239309</v>
      </c>
      <c r="BF126" s="214">
        <v>7803801</v>
      </c>
      <c r="BG126" s="214">
        <f t="shared" si="115"/>
        <v>7803801</v>
      </c>
      <c r="BH126" s="213">
        <v>7010493</v>
      </c>
      <c r="BI126" s="213">
        <v>5244105</v>
      </c>
      <c r="BJ126" s="213">
        <v>5835391</v>
      </c>
      <c r="BK126" s="213">
        <v>5948702</v>
      </c>
      <c r="BL126" s="214">
        <f t="shared" si="117"/>
        <v>5948702</v>
      </c>
      <c r="BM126" s="213">
        <v>6068693</v>
      </c>
      <c r="BN126" s="213">
        <v>6203056</v>
      </c>
      <c r="BO126" s="213">
        <v>6123626</v>
      </c>
    </row>
    <row r="127" spans="1:67" x14ac:dyDescent="0.2">
      <c r="B127" s="212" t="s">
        <v>365</v>
      </c>
      <c r="C127" s="105" t="s">
        <v>687</v>
      </c>
      <c r="D127" s="165"/>
      <c r="E127" s="165"/>
      <c r="F127" s="165"/>
      <c r="G127" s="165"/>
      <c r="H127" s="165"/>
      <c r="I127" s="165">
        <v>338339</v>
      </c>
      <c r="J127" s="165">
        <v>763047</v>
      </c>
      <c r="K127" s="165">
        <v>770324</v>
      </c>
      <c r="L127" s="165">
        <v>1085601</v>
      </c>
      <c r="M127" s="165">
        <v>1085601</v>
      </c>
      <c r="N127" s="165">
        <v>731041</v>
      </c>
      <c r="O127" s="165">
        <v>1012618</v>
      </c>
      <c r="P127" s="165">
        <v>1010233</v>
      </c>
      <c r="Q127" s="165">
        <v>922887</v>
      </c>
      <c r="R127" s="165">
        <v>922887</v>
      </c>
      <c r="S127" s="165">
        <v>941648</v>
      </c>
      <c r="T127" s="165">
        <v>814655</v>
      </c>
      <c r="U127" s="165">
        <v>781415</v>
      </c>
      <c r="V127" s="165">
        <v>577454</v>
      </c>
      <c r="W127" s="165">
        <v>577454</v>
      </c>
      <c r="X127" s="165">
        <v>543077</v>
      </c>
      <c r="Y127" s="165">
        <v>586508</v>
      </c>
      <c r="Z127" s="165">
        <v>566675</v>
      </c>
      <c r="AA127" s="213">
        <v>417050</v>
      </c>
      <c r="AB127" s="213">
        <v>417050</v>
      </c>
      <c r="AC127" s="213">
        <v>410418</v>
      </c>
      <c r="AD127" s="213">
        <v>371104</v>
      </c>
      <c r="AE127" s="213">
        <v>387208</v>
      </c>
      <c r="AF127" s="213">
        <v>359391</v>
      </c>
      <c r="AG127" s="213">
        <f t="shared" si="119"/>
        <v>359391</v>
      </c>
      <c r="AH127" s="213">
        <v>403768</v>
      </c>
      <c r="AI127" s="213">
        <v>450585</v>
      </c>
      <c r="AJ127" s="213">
        <v>455339</v>
      </c>
      <c r="AK127" s="213">
        <v>498832</v>
      </c>
      <c r="AL127" s="213">
        <f t="shared" si="111"/>
        <v>498832</v>
      </c>
      <c r="AM127" s="213">
        <v>481586</v>
      </c>
      <c r="AN127" s="213">
        <v>535383</v>
      </c>
      <c r="AO127" s="213">
        <v>497485</v>
      </c>
      <c r="AP127" s="213">
        <v>483656</v>
      </c>
      <c r="AQ127" s="213">
        <f t="shared" si="112"/>
        <v>483656</v>
      </c>
      <c r="AS127" s="213"/>
      <c r="AT127" s="213"/>
      <c r="AU127" s="213"/>
      <c r="AV127" s="213">
        <v>529277</v>
      </c>
      <c r="AW127" s="213">
        <f t="shared" si="113"/>
        <v>529277</v>
      </c>
      <c r="AX127" s="213">
        <v>462785</v>
      </c>
      <c r="AY127" s="213">
        <v>526634</v>
      </c>
      <c r="AZ127" s="213">
        <v>600569</v>
      </c>
      <c r="BA127" s="213">
        <v>619110</v>
      </c>
      <c r="BB127" s="213">
        <f t="shared" si="114"/>
        <v>619110</v>
      </c>
      <c r="BC127" s="213">
        <v>639223</v>
      </c>
      <c r="BD127" s="214">
        <v>619030</v>
      </c>
      <c r="BE127" s="214">
        <v>637987</v>
      </c>
      <c r="BF127" s="214">
        <v>651600</v>
      </c>
      <c r="BG127" s="214">
        <f t="shared" si="115"/>
        <v>651600</v>
      </c>
      <c r="BH127" s="213">
        <v>683659</v>
      </c>
      <c r="BI127" s="213">
        <v>672924</v>
      </c>
      <c r="BJ127" s="213">
        <v>672029</v>
      </c>
      <c r="BK127" s="213">
        <v>472426</v>
      </c>
      <c r="BL127" s="214">
        <f t="shared" si="117"/>
        <v>472426</v>
      </c>
      <c r="BM127" s="213">
        <v>373228</v>
      </c>
      <c r="BN127" s="213">
        <v>266142</v>
      </c>
      <c r="BO127" s="213">
        <v>239881</v>
      </c>
    </row>
    <row r="128" spans="1:67" x14ac:dyDescent="0.2">
      <c r="B128" s="212" t="s">
        <v>725</v>
      </c>
      <c r="C128" s="105"/>
      <c r="D128" s="165"/>
      <c r="E128" s="165"/>
      <c r="F128" s="165"/>
      <c r="G128" s="165"/>
      <c r="H128" s="165"/>
      <c r="I128" s="165"/>
      <c r="J128" s="165"/>
      <c r="K128" s="165"/>
      <c r="L128" s="165"/>
      <c r="M128" s="165"/>
      <c r="N128" s="165"/>
      <c r="O128" s="165"/>
      <c r="P128" s="165"/>
      <c r="Q128" s="165"/>
      <c r="R128" s="165"/>
      <c r="S128" s="165"/>
      <c r="T128" s="165"/>
      <c r="U128" s="165"/>
      <c r="V128" s="165"/>
      <c r="W128" s="165"/>
      <c r="X128" s="165"/>
      <c r="Y128" s="165"/>
      <c r="Z128" s="165"/>
      <c r="AA128" s="213"/>
      <c r="AB128" s="213"/>
      <c r="AC128" s="213"/>
      <c r="AD128" s="213"/>
      <c r="AE128" s="213"/>
      <c r="AF128" s="213"/>
      <c r="AG128" s="213"/>
      <c r="AH128" s="213"/>
      <c r="AI128" s="213"/>
      <c r="AJ128" s="213"/>
      <c r="AK128" s="213"/>
      <c r="AL128" s="213"/>
      <c r="AM128" s="213"/>
      <c r="AN128" s="213"/>
      <c r="AO128" s="213"/>
      <c r="AP128" s="213"/>
      <c r="AQ128" s="213"/>
      <c r="AS128" s="213"/>
      <c r="AT128" s="213"/>
      <c r="AU128" s="213"/>
      <c r="AV128" s="213"/>
      <c r="AW128" s="213"/>
      <c r="AX128" s="213"/>
      <c r="AY128" s="213"/>
      <c r="AZ128" s="213"/>
      <c r="BA128" s="213"/>
      <c r="BB128" s="213"/>
      <c r="BC128" s="213"/>
      <c r="BD128" s="214"/>
      <c r="BE128" s="214"/>
      <c r="BF128" s="214"/>
      <c r="BG128" s="214"/>
      <c r="BH128" s="213">
        <v>422470</v>
      </c>
      <c r="BI128" s="213">
        <v>0</v>
      </c>
      <c r="BJ128" s="213">
        <v>0</v>
      </c>
      <c r="BK128" s="213">
        <v>0</v>
      </c>
      <c r="BL128" s="214">
        <f t="shared" si="117"/>
        <v>0</v>
      </c>
      <c r="BM128" s="213">
        <v>0</v>
      </c>
      <c r="BN128" s="213">
        <v>0</v>
      </c>
      <c r="BO128" s="213">
        <v>0</v>
      </c>
    </row>
    <row r="129" spans="2:67" x14ac:dyDescent="0.2">
      <c r="B129" s="212" t="s">
        <v>366</v>
      </c>
      <c r="C129" s="105" t="s">
        <v>687</v>
      </c>
      <c r="D129" s="165"/>
      <c r="E129" s="165"/>
      <c r="F129" s="165"/>
      <c r="G129" s="165"/>
      <c r="H129" s="165"/>
      <c r="I129" s="165">
        <v>22891</v>
      </c>
      <c r="J129" s="165">
        <v>290271</v>
      </c>
      <c r="K129" s="165">
        <v>288184</v>
      </c>
      <c r="L129" s="165">
        <v>1306872</v>
      </c>
      <c r="M129" s="165">
        <v>1306872</v>
      </c>
      <c r="N129" s="165">
        <v>677982</v>
      </c>
      <c r="O129" s="165">
        <v>1176931</v>
      </c>
      <c r="P129" s="165">
        <v>1206939</v>
      </c>
      <c r="Q129" s="165">
        <v>1122247</v>
      </c>
      <c r="R129" s="165">
        <v>1122247</v>
      </c>
      <c r="S129" s="165">
        <v>1122149</v>
      </c>
      <c r="T129" s="165">
        <v>1160027</v>
      </c>
      <c r="U129" s="165">
        <v>1020795</v>
      </c>
      <c r="V129" s="165">
        <v>703140</v>
      </c>
      <c r="W129" s="165">
        <v>703140</v>
      </c>
      <c r="X129" s="165">
        <v>583064</v>
      </c>
      <c r="Y129" s="165">
        <v>611939</v>
      </c>
      <c r="Z129" s="165">
        <v>476466</v>
      </c>
      <c r="AA129" s="213">
        <v>424497</v>
      </c>
      <c r="AB129" s="213">
        <v>424497</v>
      </c>
      <c r="AC129" s="213">
        <v>464114</v>
      </c>
      <c r="AD129" s="213">
        <v>520742</v>
      </c>
      <c r="AE129" s="213">
        <v>515747</v>
      </c>
      <c r="AF129" s="213">
        <v>422494</v>
      </c>
      <c r="AG129" s="213">
        <f t="shared" si="119"/>
        <v>422494</v>
      </c>
      <c r="AH129" s="213">
        <v>431213</v>
      </c>
      <c r="AI129" s="213">
        <v>429877</v>
      </c>
      <c r="AJ129" s="213">
        <v>450041</v>
      </c>
      <c r="AK129" s="213">
        <v>374593</v>
      </c>
      <c r="AL129" s="213">
        <f t="shared" si="111"/>
        <v>374593</v>
      </c>
      <c r="AM129" s="213">
        <v>385279</v>
      </c>
      <c r="AN129" s="213">
        <v>330110</v>
      </c>
      <c r="AO129" s="213">
        <v>324165</v>
      </c>
      <c r="AP129" s="213">
        <v>303495</v>
      </c>
      <c r="AQ129" s="213">
        <f t="shared" si="112"/>
        <v>303495</v>
      </c>
      <c r="AS129" s="213"/>
      <c r="AT129" s="213"/>
      <c r="AU129" s="213"/>
      <c r="AV129" s="213">
        <v>303495</v>
      </c>
      <c r="AW129" s="213">
        <f t="shared" si="113"/>
        <v>303495</v>
      </c>
      <c r="AX129" s="213">
        <v>312641</v>
      </c>
      <c r="AY129" s="213">
        <v>307386</v>
      </c>
      <c r="AZ129" s="213">
        <v>288370</v>
      </c>
      <c r="BA129" s="213">
        <v>286403</v>
      </c>
      <c r="BB129" s="213">
        <f t="shared" si="114"/>
        <v>286403</v>
      </c>
      <c r="BC129" s="213">
        <v>289474</v>
      </c>
      <c r="BD129" s="214"/>
      <c r="BE129" s="214"/>
      <c r="BF129" s="214">
        <v>396423</v>
      </c>
      <c r="BG129" s="214">
        <f t="shared" si="115"/>
        <v>396423</v>
      </c>
      <c r="BH129" s="213">
        <v>552545</v>
      </c>
      <c r="BI129" s="213">
        <v>549568</v>
      </c>
      <c r="BJ129" s="213">
        <v>714772</v>
      </c>
      <c r="BK129" s="213">
        <v>712581</v>
      </c>
      <c r="BL129" s="214">
        <f t="shared" si="117"/>
        <v>712581</v>
      </c>
      <c r="BM129" s="213">
        <v>821947</v>
      </c>
      <c r="BN129" s="213">
        <v>853710</v>
      </c>
      <c r="BO129" s="213">
        <v>804254</v>
      </c>
    </row>
    <row r="130" spans="2:67" x14ac:dyDescent="0.2">
      <c r="B130" s="212" t="s">
        <v>367</v>
      </c>
      <c r="C130" s="105" t="s">
        <v>687</v>
      </c>
      <c r="D130" s="165"/>
      <c r="E130" s="165"/>
      <c r="F130" s="165"/>
      <c r="G130" s="165"/>
      <c r="H130" s="165"/>
      <c r="I130" s="165">
        <v>396401</v>
      </c>
      <c r="J130" s="165">
        <v>999711</v>
      </c>
      <c r="K130" s="165">
        <v>1090863</v>
      </c>
      <c r="L130" s="165">
        <v>579339</v>
      </c>
      <c r="M130" s="165">
        <v>579339</v>
      </c>
      <c r="N130" s="165">
        <v>621646</v>
      </c>
      <c r="O130" s="165">
        <v>541165</v>
      </c>
      <c r="P130" s="165">
        <v>560203</v>
      </c>
      <c r="Q130" s="165">
        <v>767228</v>
      </c>
      <c r="R130" s="165">
        <v>767228</v>
      </c>
      <c r="S130" s="165">
        <v>760183</v>
      </c>
      <c r="T130" s="165">
        <v>798487</v>
      </c>
      <c r="U130" s="165">
        <v>867193</v>
      </c>
      <c r="V130" s="165">
        <v>1051894</v>
      </c>
      <c r="W130" s="165">
        <v>1051894</v>
      </c>
      <c r="X130" s="165">
        <v>952555</v>
      </c>
      <c r="Y130" s="165">
        <v>895238</v>
      </c>
      <c r="Z130" s="165">
        <v>799761</v>
      </c>
      <c r="AA130" s="213">
        <v>811565</v>
      </c>
      <c r="AB130" s="213">
        <v>811565</v>
      </c>
      <c r="AC130" s="213">
        <v>857139</v>
      </c>
      <c r="AD130" s="213">
        <v>925963</v>
      </c>
      <c r="AE130" s="213">
        <v>958744</v>
      </c>
      <c r="AF130" s="213">
        <v>915759</v>
      </c>
      <c r="AG130" s="213">
        <f t="shared" si="119"/>
        <v>915759</v>
      </c>
      <c r="AH130" s="213">
        <v>962141</v>
      </c>
      <c r="AI130" s="213">
        <v>925364</v>
      </c>
      <c r="AJ130" s="213">
        <v>956420</v>
      </c>
      <c r="AK130" s="213">
        <v>949697</v>
      </c>
      <c r="AL130" s="213">
        <f t="shared" si="111"/>
        <v>949697</v>
      </c>
      <c r="AM130" s="213">
        <v>961978</v>
      </c>
      <c r="AN130" s="213">
        <v>887523</v>
      </c>
      <c r="AO130" s="213">
        <v>823573</v>
      </c>
      <c r="AP130" s="213">
        <v>872121</v>
      </c>
      <c r="AQ130" s="213">
        <f t="shared" si="112"/>
        <v>872121</v>
      </c>
      <c r="AS130" s="213"/>
      <c r="AT130" s="213"/>
      <c r="AU130" s="213"/>
      <c r="AV130" s="213">
        <v>786571</v>
      </c>
      <c r="AW130" s="213">
        <f t="shared" si="113"/>
        <v>786571</v>
      </c>
      <c r="AX130" s="213">
        <v>778951</v>
      </c>
      <c r="AY130" s="213">
        <v>772884</v>
      </c>
      <c r="AZ130" s="213">
        <v>705674</v>
      </c>
      <c r="BA130" s="213">
        <v>616803</v>
      </c>
      <c r="BB130" s="213">
        <f t="shared" si="114"/>
        <v>616803</v>
      </c>
      <c r="BC130" s="213">
        <v>577031</v>
      </c>
      <c r="BD130" s="214">
        <v>460091</v>
      </c>
      <c r="BE130" s="214">
        <v>506636</v>
      </c>
      <c r="BF130" s="214">
        <v>588359</v>
      </c>
      <c r="BG130" s="214">
        <f t="shared" si="115"/>
        <v>588359</v>
      </c>
      <c r="BH130" s="213">
        <v>356523</v>
      </c>
      <c r="BI130" s="213">
        <v>377355</v>
      </c>
      <c r="BJ130" s="213">
        <v>356982</v>
      </c>
      <c r="BK130" s="213">
        <v>341011</v>
      </c>
      <c r="BL130" s="214">
        <f t="shared" si="117"/>
        <v>341011</v>
      </c>
      <c r="BM130" s="213">
        <v>384835</v>
      </c>
      <c r="BN130" s="213">
        <v>348049</v>
      </c>
      <c r="BO130" s="213">
        <v>335275</v>
      </c>
    </row>
    <row r="131" spans="2:67" x14ac:dyDescent="0.2">
      <c r="B131" s="212" t="s">
        <v>368</v>
      </c>
      <c r="C131" s="105" t="s">
        <v>687</v>
      </c>
      <c r="D131" s="165"/>
      <c r="E131" s="165"/>
      <c r="F131" s="165"/>
      <c r="G131" s="165"/>
      <c r="H131" s="165"/>
      <c r="I131" s="165">
        <v>16015</v>
      </c>
      <c r="J131" s="165">
        <v>17209</v>
      </c>
      <c r="K131" s="165">
        <v>18497</v>
      </c>
      <c r="L131" s="165">
        <v>38095</v>
      </c>
      <c r="M131" s="165">
        <v>38095</v>
      </c>
      <c r="N131" s="165">
        <v>22047</v>
      </c>
      <c r="O131" s="165">
        <v>41653</v>
      </c>
      <c r="P131" s="165">
        <v>45554</v>
      </c>
      <c r="Q131" s="165">
        <v>45666</v>
      </c>
      <c r="R131" s="165">
        <v>45666</v>
      </c>
      <c r="S131" s="165">
        <v>48494</v>
      </c>
      <c r="T131" s="165">
        <v>49769</v>
      </c>
      <c r="U131" s="165">
        <v>48237</v>
      </c>
      <c r="V131" s="165">
        <v>74102</v>
      </c>
      <c r="W131" s="165">
        <v>74102</v>
      </c>
      <c r="X131" s="165">
        <v>80588</v>
      </c>
      <c r="Y131" s="165">
        <v>81480</v>
      </c>
      <c r="Z131" s="165">
        <v>77379</v>
      </c>
      <c r="AA131" s="213">
        <v>65271</v>
      </c>
      <c r="AB131" s="213">
        <v>65271</v>
      </c>
      <c r="AC131" s="213">
        <v>71465</v>
      </c>
      <c r="AD131" s="213">
        <v>76371</v>
      </c>
      <c r="AE131" s="213">
        <v>77677</v>
      </c>
      <c r="AF131" s="213">
        <v>82322</v>
      </c>
      <c r="AG131" s="213">
        <f t="shared" si="119"/>
        <v>82322</v>
      </c>
      <c r="AH131" s="213">
        <v>84026</v>
      </c>
      <c r="AI131" s="213">
        <v>85631</v>
      </c>
      <c r="AJ131" s="213">
        <v>93794</v>
      </c>
      <c r="AK131" s="213">
        <v>101087</v>
      </c>
      <c r="AL131" s="213">
        <f t="shared" si="111"/>
        <v>101087</v>
      </c>
      <c r="AM131" s="213">
        <v>113175</v>
      </c>
      <c r="AN131" s="213">
        <v>113599</v>
      </c>
      <c r="AO131" s="213">
        <v>91337</v>
      </c>
      <c r="AP131" s="213">
        <v>82365</v>
      </c>
      <c r="AQ131" s="213">
        <f t="shared" si="112"/>
        <v>82365</v>
      </c>
      <c r="AS131" s="213"/>
      <c r="AT131" s="213"/>
      <c r="AU131" s="213"/>
      <c r="AV131" s="213">
        <v>82365</v>
      </c>
      <c r="AW131" s="213">
        <f t="shared" si="113"/>
        <v>82365</v>
      </c>
      <c r="AX131" s="213">
        <v>89416</v>
      </c>
      <c r="AY131" s="213">
        <v>91099</v>
      </c>
      <c r="AZ131" s="213">
        <v>95194</v>
      </c>
      <c r="BA131" s="213">
        <v>93570</v>
      </c>
      <c r="BB131" s="213">
        <f t="shared" si="114"/>
        <v>93570</v>
      </c>
      <c r="BC131" s="213">
        <v>82090</v>
      </c>
      <c r="BD131" s="214">
        <v>392872</v>
      </c>
      <c r="BE131" s="214">
        <v>371664</v>
      </c>
      <c r="BF131" s="214">
        <v>384280</v>
      </c>
      <c r="BG131" s="214">
        <f t="shared" si="115"/>
        <v>384280</v>
      </c>
      <c r="BH131" s="213">
        <v>68074</v>
      </c>
      <c r="BI131" s="213">
        <v>61892</v>
      </c>
      <c r="BJ131" s="213">
        <v>55399</v>
      </c>
      <c r="BK131" s="213">
        <v>56233</v>
      </c>
      <c r="BL131" s="214">
        <f t="shared" si="117"/>
        <v>56233</v>
      </c>
      <c r="BM131" s="213">
        <v>64427</v>
      </c>
      <c r="BN131" s="213">
        <v>56839</v>
      </c>
      <c r="BO131" s="213">
        <v>56862</v>
      </c>
    </row>
    <row r="132" spans="2:67" x14ac:dyDescent="0.2">
      <c r="B132" s="212" t="s">
        <v>363</v>
      </c>
      <c r="C132" s="105" t="s">
        <v>687</v>
      </c>
      <c r="D132" s="165"/>
      <c r="E132" s="165"/>
      <c r="F132" s="165"/>
      <c r="G132" s="165"/>
      <c r="H132" s="165"/>
      <c r="I132" s="165"/>
      <c r="J132" s="165">
        <v>96128</v>
      </c>
      <c r="K132" s="165">
        <v>104458</v>
      </c>
      <c r="L132" s="165">
        <v>99323</v>
      </c>
      <c r="M132" s="165">
        <v>99323</v>
      </c>
      <c r="N132" s="165">
        <v>102029</v>
      </c>
      <c r="O132" s="165">
        <v>86850</v>
      </c>
      <c r="P132" s="165">
        <v>83887</v>
      </c>
      <c r="Q132" s="165">
        <v>77567</v>
      </c>
      <c r="R132" s="165">
        <v>77567</v>
      </c>
      <c r="S132" s="165">
        <v>77979</v>
      </c>
      <c r="T132" s="165">
        <v>77491</v>
      </c>
      <c r="U132" s="165">
        <v>67448</v>
      </c>
      <c r="V132" s="165">
        <v>355401</v>
      </c>
      <c r="W132" s="165">
        <v>355401</v>
      </c>
      <c r="X132" s="165">
        <v>343714</v>
      </c>
      <c r="Y132" s="165">
        <v>343348</v>
      </c>
      <c r="Z132" s="165">
        <v>331619</v>
      </c>
      <c r="AA132" s="213">
        <v>272130</v>
      </c>
      <c r="AB132" s="213">
        <v>272130</v>
      </c>
      <c r="AC132" s="213">
        <v>273017</v>
      </c>
      <c r="AD132" s="213">
        <v>274374</v>
      </c>
      <c r="AE132" s="213">
        <v>271127</v>
      </c>
      <c r="AF132" s="213">
        <v>213781</v>
      </c>
      <c r="AG132" s="213">
        <f t="shared" si="119"/>
        <v>213781</v>
      </c>
      <c r="AH132" s="213">
        <v>199047</v>
      </c>
      <c r="AI132" s="213">
        <v>182570</v>
      </c>
      <c r="AJ132" s="213">
        <v>167442</v>
      </c>
      <c r="AK132" s="213">
        <v>158305</v>
      </c>
      <c r="AL132" s="213">
        <f t="shared" si="111"/>
        <v>158305</v>
      </c>
      <c r="AM132" s="213">
        <v>141889</v>
      </c>
      <c r="AN132" s="213">
        <v>120523</v>
      </c>
      <c r="AO132" s="213">
        <v>103333</v>
      </c>
      <c r="AP132" s="213">
        <v>644702</v>
      </c>
      <c r="AQ132" s="213">
        <f t="shared" si="112"/>
        <v>644702</v>
      </c>
      <c r="AS132" s="213"/>
      <c r="AT132" s="213"/>
      <c r="AU132" s="213"/>
      <c r="AV132" s="213">
        <v>644702</v>
      </c>
      <c r="AW132" s="213">
        <f t="shared" si="113"/>
        <v>644702</v>
      </c>
      <c r="AX132" s="213">
        <v>628236</v>
      </c>
      <c r="AY132" s="213">
        <v>792518</v>
      </c>
      <c r="AZ132" s="213">
        <v>738450</v>
      </c>
      <c r="BA132" s="213">
        <v>851383</v>
      </c>
      <c r="BB132" s="213">
        <f t="shared" si="114"/>
        <v>851383</v>
      </c>
      <c r="BC132" s="213">
        <v>798266</v>
      </c>
      <c r="BD132" s="214">
        <v>86515</v>
      </c>
      <c r="BE132" s="214">
        <v>73599</v>
      </c>
      <c r="BF132" s="214">
        <v>74116</v>
      </c>
      <c r="BG132" s="214">
        <f t="shared" si="115"/>
        <v>74116</v>
      </c>
      <c r="BH132" s="213">
        <v>654749</v>
      </c>
      <c r="BI132" s="213">
        <v>601914</v>
      </c>
      <c r="BJ132" s="213">
        <v>561661</v>
      </c>
      <c r="BK132" s="213">
        <v>512056</v>
      </c>
      <c r="BL132" s="214">
        <f t="shared" si="117"/>
        <v>512056</v>
      </c>
      <c r="BM132" s="213">
        <v>474328</v>
      </c>
      <c r="BN132" s="213">
        <v>505428</v>
      </c>
      <c r="BO132" s="213">
        <v>461111</v>
      </c>
    </row>
    <row r="133" spans="2:67" x14ac:dyDescent="0.2">
      <c r="B133" s="126" t="s">
        <v>726</v>
      </c>
      <c r="C133" s="105" t="s">
        <v>687</v>
      </c>
      <c r="D133" s="210"/>
      <c r="E133" s="210"/>
      <c r="F133" s="210"/>
      <c r="G133" s="210"/>
      <c r="H133" s="210"/>
      <c r="I133" s="210">
        <v>3924022</v>
      </c>
      <c r="J133" s="210">
        <v>9071717</v>
      </c>
      <c r="K133" s="210">
        <v>9728777</v>
      </c>
      <c r="L133" s="210">
        <v>10808087</v>
      </c>
      <c r="M133" s="210">
        <v>10808087</v>
      </c>
      <c r="N133" s="210">
        <v>10103699</v>
      </c>
      <c r="O133" s="210">
        <v>10521694</v>
      </c>
      <c r="P133" s="210">
        <v>10411449</v>
      </c>
      <c r="Q133" s="210">
        <v>10795580</v>
      </c>
      <c r="R133" s="210">
        <v>10795580</v>
      </c>
      <c r="S133" s="210">
        <v>10237532</v>
      </c>
      <c r="T133" s="210">
        <v>10094353</v>
      </c>
      <c r="U133" s="210">
        <v>9824169</v>
      </c>
      <c r="V133" s="210">
        <v>10151003</v>
      </c>
      <c r="W133" s="210">
        <v>10151003</v>
      </c>
      <c r="X133" s="210">
        <v>9804438</v>
      </c>
      <c r="Y133" s="210">
        <v>9810412</v>
      </c>
      <c r="Z133" s="210">
        <v>9590791</v>
      </c>
      <c r="AA133" s="210">
        <v>9522898</v>
      </c>
      <c r="AB133" s="210">
        <v>9522898</v>
      </c>
      <c r="AC133" s="210">
        <v>9763557</v>
      </c>
      <c r="AD133" s="210">
        <v>9287504</v>
      </c>
      <c r="AE133" s="210">
        <v>9445230</v>
      </c>
      <c r="AF133" s="210">
        <v>8790699</v>
      </c>
      <c r="AG133" s="210">
        <f t="shared" si="119"/>
        <v>8790699</v>
      </c>
      <c r="AH133" s="210">
        <v>8708673</v>
      </c>
      <c r="AI133" s="210">
        <v>9318885</v>
      </c>
      <c r="AJ133" s="210">
        <v>8947278</v>
      </c>
      <c r="AK133" s="210">
        <v>8688022</v>
      </c>
      <c r="AL133" s="210">
        <f t="shared" si="111"/>
        <v>8688022</v>
      </c>
      <c r="AM133" s="210">
        <v>8432721</v>
      </c>
      <c r="AN133" s="210">
        <f>SUM(AN126:AN132)</f>
        <v>8104059</v>
      </c>
      <c r="AO133" s="210">
        <f>SUM(AO126:AO132)</f>
        <v>7962356</v>
      </c>
      <c r="AP133" s="210">
        <f>SUM(AP126:AP132)</f>
        <v>8251249</v>
      </c>
      <c r="AQ133" s="210">
        <f t="shared" si="112"/>
        <v>8251249</v>
      </c>
      <c r="AS133" s="210"/>
      <c r="AT133" s="210"/>
      <c r="AU133" s="210"/>
      <c r="AV133" s="210">
        <f>SUM(AV126:AV132)</f>
        <v>10705872</v>
      </c>
      <c r="AW133" s="210">
        <f t="shared" si="113"/>
        <v>10705872</v>
      </c>
      <c r="AX133" s="210">
        <f>SUM(AX126:AX132)</f>
        <v>11062499</v>
      </c>
      <c r="AY133" s="210">
        <f>SUM(AY126:AY132)</f>
        <v>10831964</v>
      </c>
      <c r="AZ133" s="210">
        <v>10860750</v>
      </c>
      <c r="BA133" s="210">
        <v>10997687</v>
      </c>
      <c r="BB133" s="210">
        <f t="shared" si="114"/>
        <v>10997687</v>
      </c>
      <c r="BC133" s="210">
        <v>11098256</v>
      </c>
      <c r="BD133" s="214">
        <v>856417</v>
      </c>
      <c r="BE133" s="214">
        <v>818291</v>
      </c>
      <c r="BF133" s="214">
        <v>702008</v>
      </c>
      <c r="BG133" s="214">
        <f t="shared" si="115"/>
        <v>702008</v>
      </c>
      <c r="BH133" s="210">
        <v>9748513</v>
      </c>
      <c r="BI133" s="210">
        <f>SUM(BI126:BI132)</f>
        <v>7507758</v>
      </c>
      <c r="BJ133" s="210">
        <f>SUM(BJ126:BJ132)</f>
        <v>8196234</v>
      </c>
      <c r="BK133" s="210">
        <f>SUM(BK126:BK132)</f>
        <v>8043009</v>
      </c>
      <c r="BL133" s="214">
        <f t="shared" si="117"/>
        <v>8043009</v>
      </c>
      <c r="BM133" s="210">
        <f>SUM(BM126:BM132)</f>
        <v>8187458</v>
      </c>
      <c r="BN133" s="210">
        <f>SUM(BN126:BN132)</f>
        <v>8233224</v>
      </c>
      <c r="BO133" s="210">
        <f>SUM(BO126:BO132)</f>
        <v>8021009</v>
      </c>
    </row>
    <row r="134" spans="2:67" x14ac:dyDescent="0.2">
      <c r="B134" s="126" t="s">
        <v>727</v>
      </c>
      <c r="C134" s="105" t="s">
        <v>687</v>
      </c>
      <c r="D134" s="210"/>
      <c r="E134" s="210"/>
      <c r="F134" s="210"/>
      <c r="G134" s="210"/>
      <c r="H134" s="210"/>
      <c r="I134" s="210">
        <v>6159595</v>
      </c>
      <c r="J134" s="210">
        <v>14379491</v>
      </c>
      <c r="K134" s="210">
        <v>15310408</v>
      </c>
      <c r="L134" s="210">
        <v>17105654</v>
      </c>
      <c r="M134" s="210">
        <v>17105654</v>
      </c>
      <c r="N134" s="210">
        <v>15509198</v>
      </c>
      <c r="O134" s="210">
        <v>17005057</v>
      </c>
      <c r="P134" s="210">
        <v>17454331</v>
      </c>
      <c r="Q134" s="210">
        <v>17304687</v>
      </c>
      <c r="R134" s="210">
        <v>17304687</v>
      </c>
      <c r="S134" s="210">
        <v>16116145</v>
      </c>
      <c r="T134" s="210">
        <v>16040451</v>
      </c>
      <c r="U134" s="210">
        <v>15784695</v>
      </c>
      <c r="V134" s="210">
        <v>15980735</v>
      </c>
      <c r="W134" s="210">
        <v>15980735</v>
      </c>
      <c r="X134" s="210">
        <v>15079922</v>
      </c>
      <c r="Y134" s="210">
        <v>15502540</v>
      </c>
      <c r="Z134" s="210">
        <v>15022372</v>
      </c>
      <c r="AA134" s="210">
        <v>15163870</v>
      </c>
      <c r="AB134" s="210">
        <v>15163870</v>
      </c>
      <c r="AC134" s="210">
        <v>15355117</v>
      </c>
      <c r="AD134" s="210">
        <v>15507485</v>
      </c>
      <c r="AE134" s="210">
        <v>15499074</v>
      </c>
      <c r="AF134" s="210">
        <v>15012890</v>
      </c>
      <c r="AG134" s="210">
        <f t="shared" si="119"/>
        <v>15012890</v>
      </c>
      <c r="AH134" s="210">
        <v>14774228</v>
      </c>
      <c r="AI134" s="210">
        <v>15092614</v>
      </c>
      <c r="AJ134" s="210">
        <v>14749012</v>
      </c>
      <c r="AK134" s="210">
        <f>AK125+AK133</f>
        <v>14530736</v>
      </c>
      <c r="AL134" s="210">
        <f t="shared" si="111"/>
        <v>14530736</v>
      </c>
      <c r="AM134" s="210">
        <f>AM125+AM133</f>
        <v>14371325</v>
      </c>
      <c r="AN134" s="210">
        <f>AN125+AN133</f>
        <v>13736527</v>
      </c>
      <c r="AO134" s="210">
        <f>AO125+AO133</f>
        <v>13616624</v>
      </c>
      <c r="AP134" s="210">
        <f>AP125+AP133</f>
        <v>13820001</v>
      </c>
      <c r="AQ134" s="210">
        <f t="shared" si="112"/>
        <v>13820001</v>
      </c>
      <c r="AS134" s="210"/>
      <c r="AT134" s="210"/>
      <c r="AU134" s="210"/>
      <c r="AV134" s="210">
        <f>AV125+AV133</f>
        <v>16638121</v>
      </c>
      <c r="AW134" s="210">
        <f t="shared" si="113"/>
        <v>16638121</v>
      </c>
      <c r="AX134" s="210">
        <f>AX125+AX133</f>
        <v>16863240</v>
      </c>
      <c r="AY134" s="210">
        <f>AY125+AY133</f>
        <v>17278598</v>
      </c>
      <c r="AZ134" s="210">
        <f>AZ125+AZ133</f>
        <v>17454128</v>
      </c>
      <c r="BA134" s="210">
        <f>BA125+BA133</f>
        <v>17958629</v>
      </c>
      <c r="BB134" s="210">
        <f t="shared" si="114"/>
        <v>17958629</v>
      </c>
      <c r="BC134" s="210">
        <v>17399490</v>
      </c>
      <c r="BD134" s="211">
        <v>10024984</v>
      </c>
      <c r="BE134" s="211">
        <v>9647486</v>
      </c>
      <c r="BF134" s="211">
        <v>10600587</v>
      </c>
      <c r="BG134" s="211">
        <f t="shared" si="115"/>
        <v>10600587</v>
      </c>
      <c r="BH134" s="210">
        <f t="shared" ref="BH134:BK134" si="122">BH133+BH125</f>
        <v>17756359</v>
      </c>
      <c r="BI134" s="210">
        <f t="shared" si="122"/>
        <v>18495552</v>
      </c>
      <c r="BJ134" s="210">
        <f t="shared" si="122"/>
        <v>18763606</v>
      </c>
      <c r="BK134" s="210">
        <f t="shared" si="122"/>
        <v>20379338</v>
      </c>
      <c r="BL134" s="211">
        <f t="shared" si="117"/>
        <v>20379338</v>
      </c>
      <c r="BM134" s="210">
        <f t="shared" ref="BM134:BO134" si="123">BM133+BM125</f>
        <v>21519785</v>
      </c>
      <c r="BN134" s="210">
        <f t="shared" si="123"/>
        <v>21749029</v>
      </c>
      <c r="BO134" s="210">
        <f t="shared" si="123"/>
        <v>21885992</v>
      </c>
    </row>
    <row r="135" spans="2:67" ht="7.25" customHeight="1" x14ac:dyDescent="0.2">
      <c r="B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c r="AA135" s="126"/>
      <c r="AB135" s="126"/>
      <c r="AC135" s="126"/>
      <c r="AD135" s="126"/>
      <c r="AE135" s="126"/>
      <c r="AF135" s="126"/>
      <c r="AG135" s="126"/>
      <c r="AH135" s="126"/>
      <c r="AI135" s="126"/>
      <c r="AJ135" s="126"/>
      <c r="AK135" s="126"/>
      <c r="AL135" s="210"/>
      <c r="AM135" s="210"/>
      <c r="AN135" s="210"/>
      <c r="AO135" s="210"/>
      <c r="AP135" s="210"/>
      <c r="AQ135" s="210"/>
      <c r="AS135" s="210"/>
      <c r="AT135" s="210"/>
      <c r="AU135" s="210"/>
      <c r="AV135" s="210"/>
      <c r="AW135" s="210"/>
      <c r="AX135" s="210"/>
      <c r="AY135" s="210"/>
      <c r="AZ135" s="210"/>
      <c r="BA135" s="210"/>
      <c r="BB135" s="210"/>
      <c r="BC135" s="210"/>
      <c r="BD135" s="211"/>
      <c r="BE135" s="211"/>
      <c r="BF135" s="211"/>
      <c r="BG135" s="211"/>
      <c r="BH135" s="210"/>
      <c r="BI135" s="210"/>
      <c r="BJ135" s="210"/>
      <c r="BK135" s="210"/>
      <c r="BL135" s="211"/>
      <c r="BM135" s="210"/>
      <c r="BN135" s="210"/>
      <c r="BO135" s="210"/>
    </row>
    <row r="136" spans="2:67" x14ac:dyDescent="0.2">
      <c r="B136" s="212" t="s">
        <v>371</v>
      </c>
      <c r="C136" s="105" t="s">
        <v>687</v>
      </c>
      <c r="D136" s="165"/>
      <c r="E136" s="165"/>
      <c r="F136" s="165"/>
      <c r="G136" s="165"/>
      <c r="H136" s="165"/>
      <c r="I136" s="165">
        <v>484133</v>
      </c>
      <c r="J136" s="165">
        <v>1435542</v>
      </c>
      <c r="K136" s="165">
        <v>1432032</v>
      </c>
      <c r="L136" s="165">
        <v>1501018</v>
      </c>
      <c r="M136" s="165">
        <v>1501018</v>
      </c>
      <c r="N136" s="165">
        <v>1605369</v>
      </c>
      <c r="O136" s="165">
        <v>1605165</v>
      </c>
      <c r="P136" s="165">
        <v>1605165</v>
      </c>
      <c r="Q136" s="165">
        <v>2389384</v>
      </c>
      <c r="R136" s="165">
        <v>2389384</v>
      </c>
      <c r="S136" s="165">
        <v>2545705</v>
      </c>
      <c r="T136" s="165">
        <v>2545705</v>
      </c>
      <c r="U136" s="165">
        <v>2545705</v>
      </c>
      <c r="V136" s="165">
        <v>2545705</v>
      </c>
      <c r="W136" s="165">
        <v>2545705</v>
      </c>
      <c r="X136" s="165">
        <v>2545705</v>
      </c>
      <c r="Y136" s="165">
        <v>2545705</v>
      </c>
      <c r="Z136" s="165">
        <v>2545705</v>
      </c>
      <c r="AA136" s="165">
        <v>2545705</v>
      </c>
      <c r="AB136" s="165">
        <v>2545705</v>
      </c>
      <c r="AC136" s="165">
        <v>2545705</v>
      </c>
      <c r="AD136" s="165">
        <v>2545705</v>
      </c>
      <c r="AE136" s="165">
        <v>2541068</v>
      </c>
      <c r="AF136" s="165">
        <v>3149564</v>
      </c>
      <c r="AG136" s="165">
        <f t="shared" ref="AG136:AG142" si="124">AF136</f>
        <v>3149564</v>
      </c>
      <c r="AH136" s="165">
        <v>3149564</v>
      </c>
      <c r="AI136" s="165">
        <v>3146265</v>
      </c>
      <c r="AJ136" s="165">
        <v>3146265</v>
      </c>
      <c r="AK136" s="165">
        <v>3146265</v>
      </c>
      <c r="AL136" s="165">
        <f t="shared" si="111"/>
        <v>3146265</v>
      </c>
      <c r="AM136" s="165">
        <v>3146265</v>
      </c>
      <c r="AN136" s="165">
        <v>3146265</v>
      </c>
      <c r="AO136" s="165">
        <v>3146265</v>
      </c>
      <c r="AP136" s="165">
        <v>3146265</v>
      </c>
      <c r="AQ136" s="165">
        <f t="shared" si="112"/>
        <v>3146265</v>
      </c>
      <c r="AS136" s="165"/>
      <c r="AT136" s="165"/>
      <c r="AU136" s="165"/>
      <c r="AV136" s="165">
        <v>3146265</v>
      </c>
      <c r="AW136" s="165">
        <f t="shared" si="113"/>
        <v>3146265</v>
      </c>
      <c r="AX136" s="165">
        <v>3146265</v>
      </c>
      <c r="AY136" s="165">
        <v>3146265</v>
      </c>
      <c r="AZ136" s="165">
        <v>3146265</v>
      </c>
      <c r="BA136" s="165">
        <v>3146265</v>
      </c>
      <c r="BB136" s="165">
        <f t="shared" si="114"/>
        <v>3146265</v>
      </c>
      <c r="BC136" s="165">
        <v>3146265</v>
      </c>
      <c r="BD136" s="168">
        <v>3146265</v>
      </c>
      <c r="BE136" s="168">
        <v>3146265</v>
      </c>
      <c r="BF136" s="168">
        <v>3146265</v>
      </c>
      <c r="BG136" s="168">
        <f t="shared" ref="BG136:BG142" si="125">BF136</f>
        <v>3146265</v>
      </c>
      <c r="BH136" s="165">
        <v>3146265</v>
      </c>
      <c r="BI136" s="165">
        <v>3146265</v>
      </c>
      <c r="BJ136" s="165">
        <v>3146265</v>
      </c>
      <c r="BK136" s="165">
        <v>3146265</v>
      </c>
      <c r="BL136" s="168">
        <f t="shared" ref="BL136:BL142" si="126">BK136</f>
        <v>3146265</v>
      </c>
      <c r="BM136" s="165">
        <v>3146265</v>
      </c>
      <c r="BN136" s="165">
        <v>3146265</v>
      </c>
      <c r="BO136" s="165">
        <v>3146265</v>
      </c>
    </row>
    <row r="137" spans="2:67" x14ac:dyDescent="0.2">
      <c r="B137" s="212" t="s">
        <v>372</v>
      </c>
      <c r="C137" s="105" t="s">
        <v>687</v>
      </c>
      <c r="D137" s="165"/>
      <c r="E137" s="165"/>
      <c r="F137" s="165"/>
      <c r="G137" s="165"/>
      <c r="H137" s="165"/>
      <c r="I137" s="165">
        <v>1169997</v>
      </c>
      <c r="J137" s="165">
        <v>1186217</v>
      </c>
      <c r="K137" s="165">
        <v>1142333</v>
      </c>
      <c r="L137" s="165">
        <v>1076136</v>
      </c>
      <c r="M137" s="165">
        <v>1076136</v>
      </c>
      <c r="N137" s="165">
        <v>1146618</v>
      </c>
      <c r="O137" s="165">
        <v>800711</v>
      </c>
      <c r="P137" s="165">
        <v>852605</v>
      </c>
      <c r="Q137" s="165">
        <v>795303</v>
      </c>
      <c r="R137" s="165">
        <v>795303</v>
      </c>
      <c r="S137" s="165">
        <v>753967</v>
      </c>
      <c r="T137" s="165">
        <v>695054</v>
      </c>
      <c r="U137" s="165">
        <v>437080</v>
      </c>
      <c r="V137" s="165">
        <v>536190</v>
      </c>
      <c r="W137" s="165">
        <v>536190</v>
      </c>
      <c r="X137" s="165">
        <v>496771</v>
      </c>
      <c r="Y137" s="165">
        <v>448213</v>
      </c>
      <c r="Z137" s="165">
        <v>334736</v>
      </c>
      <c r="AA137" s="165">
        <v>317950</v>
      </c>
      <c r="AB137" s="165">
        <v>317950</v>
      </c>
      <c r="AC137" s="165">
        <v>389241</v>
      </c>
      <c r="AD137" s="165">
        <v>324766</v>
      </c>
      <c r="AE137" s="165">
        <v>328070</v>
      </c>
      <c r="AF137" s="165">
        <v>366404</v>
      </c>
      <c r="AG137" s="165">
        <f t="shared" si="124"/>
        <v>366404</v>
      </c>
      <c r="AH137" s="165">
        <v>412294</v>
      </c>
      <c r="AI137" s="165">
        <v>293923</v>
      </c>
      <c r="AJ137" s="165">
        <v>428102</v>
      </c>
      <c r="AK137" s="165">
        <v>475118</v>
      </c>
      <c r="AL137" s="165">
        <f t="shared" si="111"/>
        <v>475118</v>
      </c>
      <c r="AM137" s="165">
        <v>531291</v>
      </c>
      <c r="AN137" s="165">
        <v>445903</v>
      </c>
      <c r="AO137" s="165">
        <v>493614</v>
      </c>
      <c r="AP137" s="165">
        <v>597675</v>
      </c>
      <c r="AQ137" s="165">
        <f t="shared" si="112"/>
        <v>597675</v>
      </c>
      <c r="AS137" s="165"/>
      <c r="AT137" s="165"/>
      <c r="AU137" s="165"/>
      <c r="AV137" s="165">
        <v>218971</v>
      </c>
      <c r="AW137" s="165">
        <f t="shared" si="113"/>
        <v>218971</v>
      </c>
      <c r="AX137" s="165">
        <v>158897</v>
      </c>
      <c r="AY137" s="165">
        <v>96080</v>
      </c>
      <c r="AZ137" s="165">
        <v>182345</v>
      </c>
      <c r="BA137" s="165">
        <v>352272</v>
      </c>
      <c r="BB137" s="165">
        <f t="shared" si="114"/>
        <v>352272</v>
      </c>
      <c r="BC137" s="165">
        <v>-1767971</v>
      </c>
      <c r="BD137" s="168">
        <v>-2658015</v>
      </c>
      <c r="BE137" s="168">
        <v>-3231138</v>
      </c>
      <c r="BF137" s="168">
        <v>-4193615</v>
      </c>
      <c r="BG137" s="168">
        <f t="shared" si="125"/>
        <v>-4193615</v>
      </c>
      <c r="BH137" s="165">
        <v>-4624482</v>
      </c>
      <c r="BI137" s="165">
        <v>-5394119</v>
      </c>
      <c r="BJ137" s="165">
        <v>-6085992</v>
      </c>
      <c r="BK137" s="165">
        <v>-8841106</v>
      </c>
      <c r="BL137" s="168">
        <f t="shared" si="126"/>
        <v>-8841106</v>
      </c>
      <c r="BM137" s="165">
        <v>-9221179</v>
      </c>
      <c r="BN137" s="165">
        <v>-9744377</v>
      </c>
      <c r="BO137" s="165">
        <v>-10040345</v>
      </c>
    </row>
    <row r="138" spans="2:67" x14ac:dyDescent="0.2">
      <c r="B138" s="212" t="s">
        <v>373</v>
      </c>
      <c r="C138" s="105" t="s">
        <v>687</v>
      </c>
      <c r="D138" s="165"/>
      <c r="E138" s="165"/>
      <c r="F138" s="165"/>
      <c r="G138" s="165"/>
      <c r="H138" s="165"/>
      <c r="I138" s="165">
        <v>-203</v>
      </c>
      <c r="J138" s="165">
        <v>-203</v>
      </c>
      <c r="K138" s="165">
        <v>-203</v>
      </c>
      <c r="L138" s="165">
        <v>-203</v>
      </c>
      <c r="M138" s="165">
        <v>-203</v>
      </c>
      <c r="N138" s="165">
        <v>-203</v>
      </c>
      <c r="O138" s="165">
        <v>-178</v>
      </c>
      <c r="P138" s="165">
        <v>-178</v>
      </c>
      <c r="Q138" s="165">
        <v>-178</v>
      </c>
      <c r="R138" s="165">
        <v>-178</v>
      </c>
      <c r="S138" s="165">
        <v>-178</v>
      </c>
      <c r="T138" s="165">
        <v>-178</v>
      </c>
      <c r="U138" s="165">
        <v>-178</v>
      </c>
      <c r="V138" s="165">
        <v>-178</v>
      </c>
      <c r="W138" s="165">
        <v>-178</v>
      </c>
      <c r="X138" s="165">
        <v>-178</v>
      </c>
      <c r="Y138" s="165">
        <v>-178</v>
      </c>
      <c r="Z138" s="165">
        <v>-178</v>
      </c>
      <c r="AA138" s="165">
        <v>-178</v>
      </c>
      <c r="AB138" s="165">
        <v>-178</v>
      </c>
      <c r="AC138" s="165">
        <v>-178</v>
      </c>
      <c r="AD138" s="165">
        <v>-178</v>
      </c>
      <c r="AE138" s="165">
        <v>-178</v>
      </c>
      <c r="AF138" s="165">
        <v>-178</v>
      </c>
      <c r="AG138" s="165">
        <f t="shared" si="124"/>
        <v>-178</v>
      </c>
      <c r="AH138" s="165">
        <v>-178</v>
      </c>
      <c r="AI138" s="165">
        <v>-178</v>
      </c>
      <c r="AJ138" s="165">
        <v>-178</v>
      </c>
      <c r="AK138" s="165">
        <v>-178</v>
      </c>
      <c r="AL138" s="165">
        <f t="shared" si="111"/>
        <v>-178</v>
      </c>
      <c r="AM138" s="165">
        <v>-178</v>
      </c>
      <c r="AN138" s="165">
        <v>-178</v>
      </c>
      <c r="AO138" s="165">
        <v>-178</v>
      </c>
      <c r="AP138" s="165">
        <v>-178</v>
      </c>
      <c r="AQ138" s="165">
        <f t="shared" si="112"/>
        <v>-178</v>
      </c>
      <c r="AS138" s="165"/>
      <c r="AT138" s="165"/>
      <c r="AU138" s="165"/>
      <c r="AV138" s="165">
        <v>-178</v>
      </c>
      <c r="AW138" s="165">
        <f t="shared" si="113"/>
        <v>-178</v>
      </c>
      <c r="AX138" s="165">
        <v>-178</v>
      </c>
      <c r="AY138" s="165">
        <v>-178</v>
      </c>
      <c r="AZ138" s="165">
        <v>-178</v>
      </c>
      <c r="BA138" s="165">
        <v>-178</v>
      </c>
      <c r="BB138" s="165">
        <f t="shared" si="114"/>
        <v>-178</v>
      </c>
      <c r="BC138" s="165">
        <v>-178</v>
      </c>
      <c r="BD138" s="168">
        <v>-178</v>
      </c>
      <c r="BE138" s="168">
        <v>-178</v>
      </c>
      <c r="BF138" s="168">
        <v>-178</v>
      </c>
      <c r="BG138" s="168">
        <f t="shared" si="125"/>
        <v>-178</v>
      </c>
      <c r="BH138" s="165">
        <v>-178</v>
      </c>
      <c r="BI138" s="165">
        <v>-178</v>
      </c>
      <c r="BJ138" s="165">
        <v>-178</v>
      </c>
      <c r="BK138" s="165">
        <v>-178</v>
      </c>
      <c r="BL138" s="168">
        <f t="shared" si="126"/>
        <v>-178</v>
      </c>
      <c r="BM138" s="165">
        <v>-178</v>
      </c>
      <c r="BN138" s="165">
        <v>-178</v>
      </c>
      <c r="BO138" s="165">
        <v>-178</v>
      </c>
    </row>
    <row r="139" spans="2:67" x14ac:dyDescent="0.2">
      <c r="B139" s="212" t="s">
        <v>374</v>
      </c>
      <c r="C139" s="105" t="s">
        <v>687</v>
      </c>
      <c r="D139" s="165"/>
      <c r="E139" s="165"/>
      <c r="F139" s="165"/>
      <c r="G139" s="165"/>
      <c r="H139" s="165"/>
      <c r="I139" s="165">
        <v>-134847</v>
      </c>
      <c r="J139" s="165">
        <v>2539810</v>
      </c>
      <c r="K139" s="165">
        <v>2540870</v>
      </c>
      <c r="L139" s="165">
        <v>2535100</v>
      </c>
      <c r="M139" s="165">
        <v>2535100</v>
      </c>
      <c r="N139" s="165">
        <v>2579504</v>
      </c>
      <c r="O139" s="165">
        <v>2222417</v>
      </c>
      <c r="P139" s="165">
        <v>2215676</v>
      </c>
      <c r="Q139" s="165">
        <v>2054312</v>
      </c>
      <c r="R139" s="165">
        <v>2054312</v>
      </c>
      <c r="S139" s="165">
        <v>2178031</v>
      </c>
      <c r="T139" s="165">
        <v>2322676</v>
      </c>
      <c r="U139" s="165">
        <v>1780764</v>
      </c>
      <c r="V139" s="165">
        <v>1320179</v>
      </c>
      <c r="W139" s="165">
        <v>1320179</v>
      </c>
      <c r="X139" s="165">
        <v>677006</v>
      </c>
      <c r="Y139" s="165">
        <v>767258</v>
      </c>
      <c r="Z139" s="165">
        <v>-6286</v>
      </c>
      <c r="AA139" s="165">
        <v>-6942</v>
      </c>
      <c r="AB139" s="165">
        <v>-6942</v>
      </c>
      <c r="AC139" s="165">
        <v>256380</v>
      </c>
      <c r="AD139" s="165">
        <v>579411</v>
      </c>
      <c r="AE139" s="165">
        <v>583047</v>
      </c>
      <c r="AF139" s="165">
        <v>580870</v>
      </c>
      <c r="AG139" s="165">
        <f t="shared" si="124"/>
        <v>580870</v>
      </c>
      <c r="AH139" s="165">
        <v>678887</v>
      </c>
      <c r="AI139" s="165">
        <v>545231</v>
      </c>
      <c r="AJ139" s="165">
        <v>701587</v>
      </c>
      <c r="AK139" s="165">
        <v>554884</v>
      </c>
      <c r="AL139" s="165">
        <f t="shared" si="111"/>
        <v>554884</v>
      </c>
      <c r="AM139" s="165">
        <v>546331</v>
      </c>
      <c r="AN139" s="165">
        <v>-15593</v>
      </c>
      <c r="AO139" s="165">
        <v>-121869</v>
      </c>
      <c r="AP139" s="165">
        <v>-76926</v>
      </c>
      <c r="AQ139" s="165">
        <f t="shared" si="112"/>
        <v>-76926</v>
      </c>
      <c r="AS139" s="165"/>
      <c r="AT139" s="165"/>
      <c r="AU139" s="165"/>
      <c r="AV139" s="165">
        <v>-4365</v>
      </c>
      <c r="AW139" s="165">
        <f t="shared" si="113"/>
        <v>-4365</v>
      </c>
      <c r="AX139" s="165">
        <v>-36890</v>
      </c>
      <c r="AY139" s="165">
        <v>-211531</v>
      </c>
      <c r="AZ139" s="165">
        <v>-482509</v>
      </c>
      <c r="BA139" s="165">
        <v>-367577</v>
      </c>
      <c r="BB139" s="165">
        <f t="shared" si="114"/>
        <v>-367577</v>
      </c>
      <c r="BC139" s="165">
        <v>-1295716</v>
      </c>
      <c r="BD139" s="168">
        <v>-1387267</v>
      </c>
      <c r="BE139" s="168">
        <v>-1387153</v>
      </c>
      <c r="BF139" s="168">
        <v>-1388185</v>
      </c>
      <c r="BG139" s="168">
        <f t="shared" si="125"/>
        <v>-1388185</v>
      </c>
      <c r="BH139" s="165">
        <v>-1388131</v>
      </c>
      <c r="BI139" s="165">
        <v>-1402095</v>
      </c>
      <c r="BJ139" s="165">
        <v>-1371612</v>
      </c>
      <c r="BK139" s="165">
        <v>-1361529</v>
      </c>
      <c r="BL139" s="168">
        <f t="shared" si="126"/>
        <v>-1361529</v>
      </c>
      <c r="BM139" s="165">
        <v>-1477059</v>
      </c>
      <c r="BN139" s="165">
        <v>-1385110</v>
      </c>
      <c r="BO139" s="165">
        <v>-1355740</v>
      </c>
    </row>
    <row r="140" spans="2:67" x14ac:dyDescent="0.2">
      <c r="B140" s="212" t="s">
        <v>375</v>
      </c>
      <c r="C140" s="105" t="s">
        <v>687</v>
      </c>
      <c r="D140" s="165"/>
      <c r="E140" s="165"/>
      <c r="F140" s="165"/>
      <c r="G140" s="165"/>
      <c r="H140" s="165"/>
      <c r="I140" s="165">
        <v>1519080</v>
      </c>
      <c r="J140" s="165">
        <v>5161366</v>
      </c>
      <c r="K140" s="165">
        <v>5115032</v>
      </c>
      <c r="L140" s="165">
        <v>5112051</v>
      </c>
      <c r="M140" s="165">
        <v>5112051</v>
      </c>
      <c r="N140" s="165">
        <v>5331288</v>
      </c>
      <c r="O140" s="165">
        <v>4628115</v>
      </c>
      <c r="P140" s="165">
        <v>4673268</v>
      </c>
      <c r="Q140" s="165">
        <v>5238821</v>
      </c>
      <c r="R140" s="165">
        <v>5238821</v>
      </c>
      <c r="S140" s="165">
        <v>5477525</v>
      </c>
      <c r="T140" s="165">
        <v>5563257</v>
      </c>
      <c r="U140" s="165">
        <v>4763371</v>
      </c>
      <c r="V140" s="165">
        <v>4401896</v>
      </c>
      <c r="W140" s="165">
        <v>4401896</v>
      </c>
      <c r="X140" s="165">
        <v>3719304</v>
      </c>
      <c r="Y140" s="165">
        <v>3760998</v>
      </c>
      <c r="Z140" s="165">
        <v>2873977</v>
      </c>
      <c r="AA140" s="165">
        <v>2856535</v>
      </c>
      <c r="AB140" s="165">
        <v>2856535</v>
      </c>
      <c r="AC140" s="165">
        <v>3191148</v>
      </c>
      <c r="AD140" s="165">
        <v>3449704</v>
      </c>
      <c r="AE140" s="165">
        <v>3452007</v>
      </c>
      <c r="AF140" s="165">
        <v>4096660</v>
      </c>
      <c r="AG140" s="165">
        <f t="shared" si="124"/>
        <v>4096660</v>
      </c>
      <c r="AH140" s="165">
        <v>4240567</v>
      </c>
      <c r="AI140" s="165">
        <v>3985241</v>
      </c>
      <c r="AJ140" s="165">
        <v>4275776</v>
      </c>
      <c r="AK140" s="165">
        <v>4176089</v>
      </c>
      <c r="AL140" s="165">
        <f t="shared" si="111"/>
        <v>4176089</v>
      </c>
      <c r="AM140" s="165">
        <v>4223709</v>
      </c>
      <c r="AN140" s="165">
        <f>SUM(AN136:AN139)</f>
        <v>3576397</v>
      </c>
      <c r="AO140" s="165">
        <f>SUM(AO136:AO139)</f>
        <v>3517832</v>
      </c>
      <c r="AP140" s="165">
        <f>SUM(AP136:AP139)</f>
        <v>3666836</v>
      </c>
      <c r="AQ140" s="165">
        <f t="shared" si="112"/>
        <v>3666836</v>
      </c>
      <c r="AS140" s="165"/>
      <c r="AT140" s="165"/>
      <c r="AU140" s="165"/>
      <c r="AV140" s="165">
        <f>SUM(AV136:AV139)</f>
        <v>3360693</v>
      </c>
      <c r="AW140" s="165">
        <f t="shared" si="113"/>
        <v>3360693</v>
      </c>
      <c r="AX140" s="165">
        <f>SUM(AX136:AX139)</f>
        <v>3268094</v>
      </c>
      <c r="AY140" s="165">
        <f>SUM(AY136:AY139)</f>
        <v>3030636</v>
      </c>
      <c r="AZ140" s="165">
        <v>2845923</v>
      </c>
      <c r="BA140" s="165">
        <v>3130782</v>
      </c>
      <c r="BB140" s="165">
        <f t="shared" si="114"/>
        <v>3130782</v>
      </c>
      <c r="BC140" s="165">
        <v>82400</v>
      </c>
      <c r="BD140" s="168">
        <v>-899195</v>
      </c>
      <c r="BE140" s="168">
        <v>-1472204</v>
      </c>
      <c r="BF140" s="168">
        <v>-2435713</v>
      </c>
      <c r="BG140" s="168">
        <f t="shared" si="125"/>
        <v>-2435713</v>
      </c>
      <c r="BH140" s="165">
        <f t="shared" ref="BH140:BK140" si="127">SUM(BH136:BH139)</f>
        <v>-2866526</v>
      </c>
      <c r="BI140" s="165">
        <f t="shared" si="127"/>
        <v>-3650127</v>
      </c>
      <c r="BJ140" s="165">
        <f t="shared" si="127"/>
        <v>-4311517</v>
      </c>
      <c r="BK140" s="165">
        <f t="shared" si="127"/>
        <v>-7056548</v>
      </c>
      <c r="BL140" s="168">
        <f t="shared" si="126"/>
        <v>-7056548</v>
      </c>
      <c r="BM140" s="165">
        <f t="shared" ref="BM140:BO140" si="128">SUM(BM136:BM139)</f>
        <v>-7552151</v>
      </c>
      <c r="BN140" s="165">
        <f t="shared" si="128"/>
        <v>-7983400</v>
      </c>
      <c r="BO140" s="165">
        <f t="shared" si="128"/>
        <v>-8249998</v>
      </c>
    </row>
    <row r="141" spans="2:67" x14ac:dyDescent="0.2">
      <c r="B141" s="212" t="s">
        <v>376</v>
      </c>
      <c r="C141" s="105" t="s">
        <v>687</v>
      </c>
      <c r="D141" s="165"/>
      <c r="E141" s="165"/>
      <c r="F141" s="165"/>
      <c r="G141" s="165"/>
      <c r="H141" s="165"/>
      <c r="I141" s="165">
        <v>9347</v>
      </c>
      <c r="J141" s="165">
        <v>101167</v>
      </c>
      <c r="K141" s="165">
        <v>39863</v>
      </c>
      <c r="L141" s="165">
        <v>108634</v>
      </c>
      <c r="M141" s="165">
        <v>108634</v>
      </c>
      <c r="N141" s="165">
        <v>20890</v>
      </c>
      <c r="O141" s="165">
        <v>93730</v>
      </c>
      <c r="P141" s="165">
        <v>92736</v>
      </c>
      <c r="Q141" s="165">
        <v>87638</v>
      </c>
      <c r="R141" s="165">
        <v>87638</v>
      </c>
      <c r="S141" s="165">
        <v>85188</v>
      </c>
      <c r="T141" s="165">
        <v>83495</v>
      </c>
      <c r="U141" s="165">
        <v>99133</v>
      </c>
      <c r="V141" s="165">
        <v>101799</v>
      </c>
      <c r="W141" s="165">
        <v>101799</v>
      </c>
      <c r="X141" s="165">
        <v>90454</v>
      </c>
      <c r="Y141" s="165">
        <v>98911</v>
      </c>
      <c r="Z141" s="165">
        <v>78678</v>
      </c>
      <c r="AA141" s="213">
        <v>81013</v>
      </c>
      <c r="AB141" s="213">
        <v>81013</v>
      </c>
      <c r="AC141" s="213">
        <v>85582</v>
      </c>
      <c r="AD141" s="213">
        <v>89508</v>
      </c>
      <c r="AE141" s="213">
        <v>89077</v>
      </c>
      <c r="AF141" s="213">
        <v>88644</v>
      </c>
      <c r="AG141" s="213">
        <f t="shared" si="124"/>
        <v>88644</v>
      </c>
      <c r="AH141" s="213">
        <v>90606</v>
      </c>
      <c r="AI141" s="213">
        <v>89332</v>
      </c>
      <c r="AJ141" s="213">
        <v>101266</v>
      </c>
      <c r="AK141" s="213">
        <v>91147</v>
      </c>
      <c r="AL141" s="213">
        <f t="shared" si="111"/>
        <v>91147</v>
      </c>
      <c r="AM141" s="213">
        <v>93071</v>
      </c>
      <c r="AN141" s="213">
        <v>79206</v>
      </c>
      <c r="AO141" s="213">
        <v>66461</v>
      </c>
      <c r="AP141" s="213">
        <v>79940</v>
      </c>
      <c r="AQ141" s="213">
        <f t="shared" si="112"/>
        <v>79940</v>
      </c>
      <c r="AS141" s="213"/>
      <c r="AT141" s="213"/>
      <c r="AU141" s="213"/>
      <c r="AV141" s="213">
        <v>79908</v>
      </c>
      <c r="AW141" s="213">
        <f t="shared" si="113"/>
        <v>79908</v>
      </c>
      <c r="AX141" s="213">
        <v>94173</v>
      </c>
      <c r="AY141" s="213">
        <v>19810</v>
      </c>
      <c r="AZ141" s="213">
        <v>-5221</v>
      </c>
      <c r="BA141" s="213">
        <v>-1605</v>
      </c>
      <c r="BB141" s="213">
        <f t="shared" si="114"/>
        <v>-1605</v>
      </c>
      <c r="BC141" s="213">
        <v>-1393</v>
      </c>
      <c r="BD141" s="214">
        <v>-4523</v>
      </c>
      <c r="BE141" s="214">
        <v>-5209</v>
      </c>
      <c r="BF141" s="214">
        <v>-6673</v>
      </c>
      <c r="BG141" s="214">
        <f t="shared" si="125"/>
        <v>-6673</v>
      </c>
      <c r="BH141" s="213">
        <v>-8658</v>
      </c>
      <c r="BI141" s="213">
        <v>-10474</v>
      </c>
      <c r="BJ141" s="213">
        <v>-13872</v>
      </c>
      <c r="BK141" s="213">
        <v>-10356</v>
      </c>
      <c r="BL141" s="214">
        <f t="shared" si="126"/>
        <v>-10356</v>
      </c>
      <c r="BM141" s="213">
        <v>-7914</v>
      </c>
      <c r="BN141" s="213">
        <v>-8260</v>
      </c>
      <c r="BO141" s="213">
        <v>-13377</v>
      </c>
    </row>
    <row r="142" spans="2:67" x14ac:dyDescent="0.2">
      <c r="B142" s="126" t="s">
        <v>728</v>
      </c>
      <c r="C142" s="105" t="s">
        <v>687</v>
      </c>
      <c r="D142" s="210"/>
      <c r="E142" s="210"/>
      <c r="F142" s="210"/>
      <c r="G142" s="210"/>
      <c r="H142" s="210"/>
      <c r="I142" s="210">
        <v>1528427</v>
      </c>
      <c r="J142" s="210">
        <v>5262533</v>
      </c>
      <c r="K142" s="210">
        <v>5154895</v>
      </c>
      <c r="L142" s="210">
        <v>5220685</v>
      </c>
      <c r="M142" s="210">
        <v>5220685</v>
      </c>
      <c r="N142" s="210">
        <v>5352178</v>
      </c>
      <c r="O142" s="210">
        <v>4721845</v>
      </c>
      <c r="P142" s="210">
        <v>4766004</v>
      </c>
      <c r="Q142" s="210">
        <v>5326459</v>
      </c>
      <c r="R142" s="210">
        <v>5326459</v>
      </c>
      <c r="S142" s="210">
        <v>5562713</v>
      </c>
      <c r="T142" s="210">
        <v>5646752</v>
      </c>
      <c r="U142" s="210">
        <v>4862504</v>
      </c>
      <c r="V142" s="210">
        <v>4503695</v>
      </c>
      <c r="W142" s="210">
        <v>4503695</v>
      </c>
      <c r="X142" s="210">
        <v>3809758</v>
      </c>
      <c r="Y142" s="210">
        <v>3859909</v>
      </c>
      <c r="Z142" s="210">
        <v>2952655</v>
      </c>
      <c r="AA142" s="210">
        <v>2937548</v>
      </c>
      <c r="AB142" s="210">
        <v>2937548</v>
      </c>
      <c r="AC142" s="210">
        <v>3276730</v>
      </c>
      <c r="AD142" s="210">
        <v>3539212</v>
      </c>
      <c r="AE142" s="210">
        <v>3541084</v>
      </c>
      <c r="AF142" s="210">
        <v>4185304</v>
      </c>
      <c r="AG142" s="210">
        <f t="shared" si="124"/>
        <v>4185304</v>
      </c>
      <c r="AH142" s="210">
        <v>4331173</v>
      </c>
      <c r="AI142" s="210">
        <v>4074573</v>
      </c>
      <c r="AJ142" s="210">
        <v>4377042</v>
      </c>
      <c r="AK142" s="210">
        <v>4267236</v>
      </c>
      <c r="AL142" s="210">
        <f>AK142</f>
        <v>4267236</v>
      </c>
      <c r="AM142" s="210">
        <v>4316780</v>
      </c>
      <c r="AN142" s="210">
        <f>AN140+AN141</f>
        <v>3655603</v>
      </c>
      <c r="AO142" s="210">
        <f>AO140+AO141</f>
        <v>3584293</v>
      </c>
      <c r="AP142" s="210">
        <f>AP140+AP141</f>
        <v>3746776</v>
      </c>
      <c r="AQ142" s="210">
        <f>AP142</f>
        <v>3746776</v>
      </c>
      <c r="AS142" s="210"/>
      <c r="AT142" s="210"/>
      <c r="AU142" s="210"/>
      <c r="AV142" s="210">
        <f>AV140+AV141</f>
        <v>3440601</v>
      </c>
      <c r="AW142" s="210">
        <f>AV142</f>
        <v>3440601</v>
      </c>
      <c r="AX142" s="210">
        <f>AX140+AX141</f>
        <v>3362267</v>
      </c>
      <c r="AY142" s="210">
        <f>AY140+AY141</f>
        <v>3050446</v>
      </c>
      <c r="AZ142" s="210">
        <f>AZ140+AZ141</f>
        <v>2840702</v>
      </c>
      <c r="BA142" s="210">
        <f>BA140+BA141</f>
        <v>3129177</v>
      </c>
      <c r="BB142" s="210">
        <f>BA142</f>
        <v>3129177</v>
      </c>
      <c r="BC142" s="210">
        <v>81007</v>
      </c>
      <c r="BD142" s="211">
        <v>-903718</v>
      </c>
      <c r="BE142" s="211">
        <v>-1477413</v>
      </c>
      <c r="BF142" s="211">
        <f>BF140+BF141</f>
        <v>-2442386</v>
      </c>
      <c r="BG142" s="211">
        <f t="shared" si="125"/>
        <v>-2442386</v>
      </c>
      <c r="BH142" s="210">
        <f t="shared" ref="BH142:BK142" si="129">BH140+BH141</f>
        <v>-2875184</v>
      </c>
      <c r="BI142" s="210">
        <f t="shared" si="129"/>
        <v>-3660601</v>
      </c>
      <c r="BJ142" s="210">
        <f t="shared" si="129"/>
        <v>-4325389</v>
      </c>
      <c r="BK142" s="210">
        <f t="shared" si="129"/>
        <v>-7066904</v>
      </c>
      <c r="BL142" s="211">
        <f t="shared" si="126"/>
        <v>-7066904</v>
      </c>
      <c r="BM142" s="210">
        <f t="shared" ref="BM142:BO142" si="130">BM140+BM141</f>
        <v>-7560065</v>
      </c>
      <c r="BN142" s="210">
        <f t="shared" si="130"/>
        <v>-7991660</v>
      </c>
      <c r="BO142" s="210">
        <f t="shared" si="130"/>
        <v>-8263375</v>
      </c>
    </row>
    <row r="143" spans="2:67" x14ac:dyDescent="0.2">
      <c r="AA143" s="165"/>
      <c r="AC143" s="165"/>
      <c r="AD143" s="165"/>
      <c r="AE143" s="165"/>
      <c r="AF143" s="165"/>
      <c r="AH143" s="165"/>
      <c r="AI143" s="165"/>
      <c r="AJ143" s="165"/>
      <c r="AK143" s="165"/>
      <c r="BD143" s="104"/>
      <c r="BE143" s="104"/>
      <c r="BF143" s="104"/>
      <c r="BG143" s="104"/>
      <c r="BL143" s="104"/>
    </row>
    <row r="145" spans="1:67" x14ac:dyDescent="0.2">
      <c r="A145" s="103" t="s">
        <v>729</v>
      </c>
      <c r="C145" s="105"/>
      <c r="M145" s="106"/>
      <c r="N145" s="106"/>
      <c r="O145" s="106"/>
      <c r="P145" s="106"/>
      <c r="Q145" s="106"/>
      <c r="R145" s="106"/>
      <c r="S145" s="106"/>
      <c r="T145" s="106"/>
      <c r="U145" s="106"/>
      <c r="V145" s="106"/>
      <c r="W145" s="106"/>
      <c r="X145" s="106"/>
      <c r="Y145" s="106"/>
      <c r="Z145" s="106"/>
      <c r="AA145" s="106"/>
      <c r="AB145" s="106"/>
      <c r="AC145" s="106"/>
      <c r="AD145" s="106"/>
      <c r="AE145" s="106"/>
      <c r="AF145" s="106"/>
      <c r="AG145" s="106"/>
      <c r="AH145" s="106"/>
      <c r="AI145" s="106"/>
      <c r="AJ145" s="106"/>
      <c r="AK145" s="106"/>
      <c r="AL145" s="106"/>
      <c r="AM145" s="106"/>
      <c r="AN145" s="106"/>
      <c r="AO145" s="106"/>
      <c r="AP145" s="106"/>
      <c r="AQ145" s="106"/>
      <c r="AS145" s="106"/>
      <c r="AT145" s="106"/>
      <c r="AU145" s="106"/>
      <c r="AW145" s="106"/>
      <c r="AX145" s="106"/>
      <c r="AY145" s="106"/>
      <c r="AZ145" s="106"/>
      <c r="BA145" s="106"/>
      <c r="BB145" s="106"/>
      <c r="BC145" s="106"/>
      <c r="BH145" s="106"/>
      <c r="BI145" s="106"/>
      <c r="BJ145" s="106"/>
      <c r="BK145" s="106"/>
      <c r="BM145" s="106"/>
      <c r="BN145" s="106"/>
      <c r="BO145" s="106"/>
    </row>
    <row r="146" spans="1:67" ht="14.5" customHeight="1" x14ac:dyDescent="0.2">
      <c r="A146" s="1230" t="s">
        <v>343</v>
      </c>
      <c r="B146" s="1231"/>
      <c r="C146" s="108" t="s">
        <v>675</v>
      </c>
      <c r="D146" s="109" t="s">
        <v>676</v>
      </c>
      <c r="E146" s="109" t="s">
        <v>677</v>
      </c>
      <c r="F146" s="109" t="s">
        <v>678</v>
      </c>
      <c r="G146" s="109" t="s">
        <v>679</v>
      </c>
      <c r="H146" s="109" t="s">
        <v>680</v>
      </c>
      <c r="I146" s="109" t="s">
        <v>681</v>
      </c>
      <c r="J146" s="109" t="s">
        <v>682</v>
      </c>
      <c r="K146" s="109" t="s">
        <v>683</v>
      </c>
      <c r="L146" s="109" t="s">
        <v>684</v>
      </c>
      <c r="M146" s="215" t="s">
        <v>671</v>
      </c>
      <c r="N146" s="109" t="s">
        <v>619</v>
      </c>
      <c r="O146" s="109" t="s">
        <v>620</v>
      </c>
      <c r="P146" s="109" t="s">
        <v>621</v>
      </c>
      <c r="Q146" s="109" t="s">
        <v>622</v>
      </c>
      <c r="R146" s="111">
        <v>2013</v>
      </c>
      <c r="S146" s="109" t="s">
        <v>623</v>
      </c>
      <c r="T146" s="109" t="s">
        <v>624</v>
      </c>
      <c r="U146" s="109" t="s">
        <v>625</v>
      </c>
      <c r="V146" s="109" t="s">
        <v>626</v>
      </c>
      <c r="W146" s="111">
        <v>2014</v>
      </c>
      <c r="X146" s="109" t="s">
        <v>627</v>
      </c>
      <c r="Y146" s="109" t="str">
        <f>+Y7</f>
        <v>2Q15</v>
      </c>
      <c r="Z146" s="109" t="s">
        <v>629</v>
      </c>
      <c r="AA146" s="109" t="s">
        <v>630</v>
      </c>
      <c r="AB146" s="111">
        <v>2015</v>
      </c>
      <c r="AC146" s="109" t="s">
        <v>631</v>
      </c>
      <c r="AD146" s="109" t="s">
        <v>632</v>
      </c>
      <c r="AE146" s="109" t="s">
        <v>633</v>
      </c>
      <c r="AF146" s="109" t="s">
        <v>634</v>
      </c>
      <c r="AG146" s="111">
        <v>2016</v>
      </c>
      <c r="AH146" s="109" t="s">
        <v>635</v>
      </c>
      <c r="AI146" s="109" t="s">
        <v>636</v>
      </c>
      <c r="AJ146" s="109" t="s">
        <v>637</v>
      </c>
      <c r="AK146" s="109" t="str">
        <f>$AK$7</f>
        <v>4Q17</v>
      </c>
      <c r="AL146" s="111">
        <f>$AL$7</f>
        <v>2017</v>
      </c>
      <c r="AM146" s="109" t="s">
        <v>639</v>
      </c>
      <c r="AN146" s="109" t="str">
        <f>AN103</f>
        <v>2Q18</v>
      </c>
      <c r="AO146" s="109" t="s">
        <v>641</v>
      </c>
      <c r="AP146" s="109" t="s">
        <v>642</v>
      </c>
      <c r="AQ146" s="111">
        <v>2018</v>
      </c>
      <c r="AS146" s="109" t="s">
        <v>639</v>
      </c>
      <c r="AT146" s="109" t="str">
        <f>AT103</f>
        <v>2Q18</v>
      </c>
      <c r="AU146" s="109" t="s">
        <v>641</v>
      </c>
      <c r="AV146" s="109" t="s">
        <v>642</v>
      </c>
      <c r="AW146" s="111">
        <v>2018</v>
      </c>
      <c r="AX146" s="109" t="s">
        <v>643</v>
      </c>
      <c r="AY146" s="109" t="str">
        <f>AY7</f>
        <v>2Q19</v>
      </c>
      <c r="AZ146" s="109" t="str">
        <f>AZ7</f>
        <v>3Q19</v>
      </c>
      <c r="BA146" s="109" t="str">
        <f>BA7</f>
        <v>4Q19</v>
      </c>
      <c r="BB146" s="111">
        <f>+BB$7</f>
        <v>2019</v>
      </c>
      <c r="BC146" s="109" t="str">
        <f>BC7</f>
        <v>1Q20</v>
      </c>
      <c r="BD146" s="112" t="str">
        <f>BD7</f>
        <v>2Q20</v>
      </c>
      <c r="BE146" s="112" t="str">
        <f>BE7</f>
        <v>3Q20</v>
      </c>
      <c r="BF146" s="112" t="str">
        <f>BF7</f>
        <v>4Q20</v>
      </c>
      <c r="BG146" s="113">
        <f>+BG$7</f>
        <v>2020</v>
      </c>
      <c r="BH146" s="109" t="str">
        <f>BH7</f>
        <v>1Q21</v>
      </c>
      <c r="BI146" s="109" t="str">
        <f>BI7</f>
        <v>2Q21</v>
      </c>
      <c r="BJ146" s="109" t="str">
        <f>BJ7</f>
        <v>3Q21</v>
      </c>
      <c r="BK146" s="109" t="str">
        <f>BK7</f>
        <v>4Q21</v>
      </c>
      <c r="BL146" s="113">
        <f>+BL$7</f>
        <v>2021</v>
      </c>
      <c r="BM146" s="109" t="str">
        <f>BM7</f>
        <v>1Q22</v>
      </c>
      <c r="BN146" s="109" t="str">
        <f>BN7</f>
        <v>2Q22</v>
      </c>
      <c r="BO146" s="109" t="str">
        <f>BO7</f>
        <v>3Q22</v>
      </c>
    </row>
    <row r="147" spans="1:67" x14ac:dyDescent="0.2">
      <c r="A147" s="126" t="s">
        <v>730</v>
      </c>
      <c r="M147" s="210"/>
      <c r="R147" s="210"/>
      <c r="U147" s="210"/>
      <c r="V147" s="210"/>
      <c r="W147" s="210"/>
      <c r="X147" s="210"/>
      <c r="Y147" s="210"/>
      <c r="Z147" s="210"/>
      <c r="AA147" s="210"/>
      <c r="AB147" s="210"/>
      <c r="AC147" s="210"/>
      <c r="AD147" s="210"/>
      <c r="AE147" s="210"/>
      <c r="AF147" s="210"/>
      <c r="AG147" s="210"/>
      <c r="AH147" s="210"/>
      <c r="AI147" s="210"/>
      <c r="AJ147" s="210"/>
      <c r="AK147" s="210"/>
      <c r="AL147" s="210"/>
      <c r="AM147" s="210"/>
      <c r="AN147" s="210"/>
      <c r="AO147" s="210"/>
      <c r="AP147" s="210"/>
      <c r="AQ147" s="210"/>
      <c r="AS147" s="210"/>
      <c r="AT147" s="210"/>
      <c r="AU147" s="210"/>
      <c r="AV147" s="210"/>
      <c r="AW147" s="210"/>
      <c r="AX147" s="210"/>
      <c r="AY147" s="210"/>
      <c r="AZ147" s="210"/>
      <c r="BA147" s="210"/>
      <c r="BB147" s="210"/>
      <c r="BC147" s="210"/>
      <c r="BD147" s="211"/>
      <c r="BE147" s="211"/>
      <c r="BF147" s="211"/>
      <c r="BG147" s="211"/>
      <c r="BH147" s="210"/>
      <c r="BI147" s="210"/>
      <c r="BJ147" s="210"/>
      <c r="BK147" s="210"/>
      <c r="BL147" s="211"/>
      <c r="BM147" s="210"/>
      <c r="BN147" s="210"/>
      <c r="BO147" s="210"/>
    </row>
    <row r="148" spans="1:67" x14ac:dyDescent="0.2">
      <c r="B148" s="126" t="s">
        <v>731</v>
      </c>
      <c r="M148" s="165"/>
      <c r="N148" s="165"/>
      <c r="O148" s="165"/>
      <c r="P148" s="165"/>
      <c r="Q148" s="165"/>
      <c r="R148" s="165"/>
      <c r="S148" s="165"/>
      <c r="T148" s="165"/>
      <c r="U148" s="165"/>
      <c r="V148" s="165"/>
      <c r="W148" s="165"/>
      <c r="X148" s="165"/>
      <c r="Y148" s="165"/>
      <c r="Z148" s="165"/>
      <c r="AA148" s="165"/>
      <c r="AB148" s="165"/>
      <c r="AC148" s="165"/>
      <c r="AD148" s="165"/>
      <c r="AE148" s="165"/>
      <c r="AF148" s="165"/>
      <c r="AG148" s="165"/>
      <c r="AH148" s="165"/>
      <c r="AI148" s="165"/>
      <c r="AJ148" s="165"/>
      <c r="AK148" s="165"/>
      <c r="AL148" s="165"/>
      <c r="AM148" s="165"/>
      <c r="AN148" s="165"/>
      <c r="AO148" s="165"/>
      <c r="AP148" s="165"/>
      <c r="AQ148" s="165"/>
      <c r="AS148" s="165"/>
      <c r="AT148" s="165"/>
      <c r="AU148" s="165"/>
      <c r="AV148" s="165"/>
      <c r="AW148" s="165"/>
      <c r="AX148" s="165"/>
      <c r="AY148" s="165"/>
      <c r="AZ148" s="165"/>
      <c r="BA148" s="165"/>
      <c r="BB148" s="165"/>
      <c r="BC148" s="165"/>
      <c r="BD148" s="168"/>
      <c r="BE148" s="168"/>
      <c r="BF148" s="168"/>
      <c r="BG148" s="168"/>
      <c r="BH148" s="165"/>
      <c r="BI148" s="165"/>
      <c r="BJ148" s="165"/>
      <c r="BK148" s="165"/>
      <c r="BL148" s="168"/>
      <c r="BM148" s="165"/>
      <c r="BN148" s="165"/>
      <c r="BO148" s="165"/>
    </row>
    <row r="149" spans="1:67" x14ac:dyDescent="0.2">
      <c r="B149" s="212" t="s">
        <v>732</v>
      </c>
      <c r="C149" s="105" t="s">
        <v>687</v>
      </c>
      <c r="D149" s="165"/>
      <c r="E149" s="165"/>
      <c r="F149" s="165"/>
      <c r="G149" s="165"/>
      <c r="H149" s="165"/>
      <c r="I149" s="165">
        <v>1530702</v>
      </c>
      <c r="J149" s="165">
        <v>3263996</v>
      </c>
      <c r="K149" s="165">
        <v>6652138</v>
      </c>
      <c r="L149" s="165">
        <v>10258473</v>
      </c>
      <c r="M149" s="165">
        <v>10258473</v>
      </c>
      <c r="N149" s="165">
        <v>3290413</v>
      </c>
      <c r="O149" s="165">
        <v>6281216</v>
      </c>
      <c r="P149" s="165">
        <v>9816232</v>
      </c>
      <c r="Q149" s="165">
        <v>13406275</v>
      </c>
      <c r="R149" s="165">
        <v>13406275</v>
      </c>
      <c r="S149" s="165">
        <v>3221686</v>
      </c>
      <c r="T149" s="165">
        <v>6443037</v>
      </c>
      <c r="U149" s="165">
        <v>9434101</v>
      </c>
      <c r="V149" s="165">
        <v>13367838</v>
      </c>
      <c r="W149" s="165">
        <v>13367838</v>
      </c>
      <c r="X149" s="165">
        <v>2961149</v>
      </c>
      <c r="Y149" s="165">
        <v>5701558</v>
      </c>
      <c r="Z149" s="165">
        <v>8546230</v>
      </c>
      <c r="AA149" s="165">
        <v>11372397</v>
      </c>
      <c r="AB149" s="165">
        <v>11372397</v>
      </c>
      <c r="AC149" s="165">
        <v>2388275</v>
      </c>
      <c r="AD149" s="165">
        <v>4899179</v>
      </c>
      <c r="AE149" s="165">
        <v>7284895.8940000003</v>
      </c>
      <c r="AF149" s="165">
        <v>9918589</v>
      </c>
      <c r="AG149" s="165">
        <f t="shared" ref="AG149:AG182" si="131">AF149</f>
        <v>9918589</v>
      </c>
      <c r="AH149" s="165">
        <v>2517712</v>
      </c>
      <c r="AI149" s="165">
        <v>5025079</v>
      </c>
      <c r="AJ149" s="165">
        <v>7749752</v>
      </c>
      <c r="AK149" s="165">
        <v>10595718</v>
      </c>
      <c r="AL149" s="165">
        <f t="shared" ref="AL149:AL177" si="132">AK149</f>
        <v>10595718</v>
      </c>
      <c r="AM149" s="165">
        <v>2698081</v>
      </c>
      <c r="AN149" s="165">
        <v>4923137</v>
      </c>
      <c r="AO149" s="165">
        <v>7448849</v>
      </c>
      <c r="AP149" s="165">
        <v>10787805</v>
      </c>
      <c r="AQ149" s="165">
        <f t="shared" ref="AQ149:AQ177" si="133">AP149</f>
        <v>10787805</v>
      </c>
      <c r="AS149" s="165">
        <v>2698081</v>
      </c>
      <c r="AT149" s="165">
        <v>4923137</v>
      </c>
      <c r="AU149" s="165">
        <v>7448849</v>
      </c>
      <c r="AV149" s="165"/>
      <c r="AW149" s="165">
        <v>10787805</v>
      </c>
      <c r="AX149" s="165">
        <v>2536205</v>
      </c>
      <c r="AY149" s="165">
        <v>5666473</v>
      </c>
      <c r="AZ149" s="165">
        <v>8230559</v>
      </c>
      <c r="BA149" s="165"/>
      <c r="BB149" s="165">
        <v>11079333</v>
      </c>
      <c r="BC149" s="165">
        <v>2418328</v>
      </c>
      <c r="BD149" s="168">
        <v>3174663</v>
      </c>
      <c r="BE149" s="168">
        <v>3760409</v>
      </c>
      <c r="BF149" s="168"/>
      <c r="BG149" s="168">
        <v>4620409</v>
      </c>
      <c r="BH149" s="165">
        <v>914899</v>
      </c>
      <c r="BI149" s="165">
        <v>1893716</v>
      </c>
      <c r="BJ149" s="165">
        <v>3298821</v>
      </c>
      <c r="BK149" s="165"/>
      <c r="BL149" s="168">
        <v>5359778</v>
      </c>
      <c r="BM149" s="165">
        <v>2011561</v>
      </c>
      <c r="BN149" s="165">
        <v>4700096</v>
      </c>
      <c r="BO149" s="165">
        <v>7536252</v>
      </c>
    </row>
    <row r="150" spans="1:67" ht="15" x14ac:dyDescent="0.2">
      <c r="B150" s="216" t="s">
        <v>733</v>
      </c>
      <c r="C150" s="105" t="s">
        <v>687</v>
      </c>
      <c r="D150" s="165"/>
      <c r="E150" s="165"/>
      <c r="F150" s="165"/>
      <c r="G150" s="165"/>
      <c r="H150" s="165"/>
      <c r="I150" s="165">
        <v>17709</v>
      </c>
      <c r="J150" s="165">
        <v>28308</v>
      </c>
      <c r="K150" s="165">
        <v>41688</v>
      </c>
      <c r="L150" s="165">
        <v>57763</v>
      </c>
      <c r="M150" s="165">
        <v>57763</v>
      </c>
      <c r="N150" s="165">
        <v>2910</v>
      </c>
      <c r="O150" s="165">
        <v>7373</v>
      </c>
      <c r="P150" s="165">
        <v>14019</v>
      </c>
      <c r="Q150" s="165">
        <v>4638</v>
      </c>
      <c r="R150" s="165">
        <v>4638</v>
      </c>
      <c r="S150" s="165">
        <v>24709</v>
      </c>
      <c r="T150" s="165">
        <v>51199</v>
      </c>
      <c r="U150" s="165">
        <v>76377</v>
      </c>
      <c r="V150" s="165">
        <v>96931</v>
      </c>
      <c r="W150" s="165">
        <v>96931</v>
      </c>
      <c r="X150" s="165">
        <v>23622</v>
      </c>
      <c r="Y150" s="165">
        <v>43060</v>
      </c>
      <c r="Z150" s="165">
        <v>69853</v>
      </c>
      <c r="AA150" s="165">
        <v>88237</v>
      </c>
      <c r="AB150" s="165">
        <v>88237</v>
      </c>
      <c r="AC150" s="165">
        <v>12603</v>
      </c>
      <c r="AD150" s="165">
        <v>32923</v>
      </c>
      <c r="AE150" s="165">
        <v>50859</v>
      </c>
      <c r="AF150" s="165">
        <v>70359</v>
      </c>
      <c r="AG150" s="165">
        <f t="shared" si="131"/>
        <v>70359</v>
      </c>
      <c r="AH150" s="165">
        <v>13134</v>
      </c>
      <c r="AI150" s="165">
        <v>29562</v>
      </c>
      <c r="AJ150" s="165">
        <v>51424</v>
      </c>
      <c r="AK150" s="165">
        <v>73668</v>
      </c>
      <c r="AL150" s="165">
        <f t="shared" si="132"/>
        <v>73668</v>
      </c>
      <c r="AM150" s="165">
        <v>25539</v>
      </c>
      <c r="AN150" s="165">
        <v>48217</v>
      </c>
      <c r="AO150" s="165">
        <v>68738</v>
      </c>
      <c r="AP150" s="165">
        <v>95099</v>
      </c>
      <c r="AQ150" s="165">
        <f t="shared" si="133"/>
        <v>95099</v>
      </c>
      <c r="AS150" s="165">
        <v>25539</v>
      </c>
      <c r="AT150" s="165">
        <v>48217</v>
      </c>
      <c r="AU150" s="165">
        <v>68738</v>
      </c>
      <c r="AV150" s="165"/>
      <c r="AW150" s="165">
        <v>95099</v>
      </c>
      <c r="AX150" s="165">
        <v>27027</v>
      </c>
      <c r="AY150" s="165">
        <v>52441</v>
      </c>
      <c r="AZ150" s="165">
        <v>64919</v>
      </c>
      <c r="BA150" s="165"/>
      <c r="BB150" s="165">
        <v>127683</v>
      </c>
      <c r="BC150" s="165">
        <v>25492</v>
      </c>
      <c r="BD150" s="168">
        <v>37038</v>
      </c>
      <c r="BE150" s="168">
        <v>41646</v>
      </c>
      <c r="BF150" s="168"/>
      <c r="BG150" s="168">
        <v>51900</v>
      </c>
      <c r="BH150" s="165">
        <v>16517</v>
      </c>
      <c r="BI150" s="165">
        <v>30664</v>
      </c>
      <c r="BJ150" s="165">
        <v>41962</v>
      </c>
      <c r="BK150" s="165"/>
      <c r="BL150" s="168">
        <v>52084</v>
      </c>
      <c r="BM150" s="165">
        <v>20936</v>
      </c>
      <c r="BN150" s="165">
        <v>47069</v>
      </c>
      <c r="BO150" s="165">
        <v>81742</v>
      </c>
    </row>
    <row r="151" spans="1:67" x14ac:dyDescent="0.2">
      <c r="B151" s="217"/>
      <c r="D151" s="165"/>
      <c r="E151" s="165"/>
      <c r="F151" s="165"/>
      <c r="G151" s="165"/>
      <c r="H151" s="165"/>
      <c r="I151" s="165"/>
      <c r="J151" s="165"/>
      <c r="K151" s="165"/>
      <c r="L151" s="165"/>
      <c r="M151" s="165"/>
      <c r="N151" s="165"/>
      <c r="O151" s="165"/>
      <c r="P151" s="165"/>
      <c r="Q151" s="165"/>
      <c r="R151" s="165"/>
      <c r="S151" s="165"/>
      <c r="T151" s="165"/>
      <c r="U151" s="165"/>
      <c r="V151" s="165"/>
      <c r="W151" s="165"/>
      <c r="X151" s="165"/>
      <c r="Y151" s="165"/>
      <c r="Z151" s="165"/>
      <c r="AA151" s="165"/>
      <c r="AB151" s="165"/>
      <c r="AC151" s="165"/>
      <c r="AD151" s="165"/>
      <c r="AE151" s="165"/>
      <c r="AF151" s="165"/>
      <c r="AG151" s="165"/>
      <c r="AH151" s="165"/>
      <c r="AI151" s="165"/>
      <c r="AJ151" s="165"/>
      <c r="AK151" s="165"/>
      <c r="AL151" s="165"/>
      <c r="AM151" s="165"/>
      <c r="AN151" s="165"/>
      <c r="AO151" s="165"/>
      <c r="AP151" s="165"/>
      <c r="AQ151" s="165"/>
      <c r="AS151" s="165"/>
      <c r="AT151" s="165"/>
      <c r="AU151" s="165"/>
      <c r="AV151" s="165"/>
      <c r="AW151" s="165"/>
      <c r="AX151" s="165"/>
      <c r="AY151" s="165"/>
      <c r="AZ151" s="165"/>
      <c r="BA151" s="165"/>
      <c r="BB151" s="165"/>
      <c r="BC151" s="165"/>
      <c r="BD151" s="168"/>
      <c r="BE151" s="168"/>
      <c r="BF151" s="168"/>
      <c r="BG151" s="168"/>
      <c r="BH151" s="165"/>
      <c r="BI151" s="165"/>
      <c r="BJ151" s="165"/>
      <c r="BK151" s="165"/>
      <c r="BL151" s="168"/>
      <c r="BM151" s="165"/>
      <c r="BN151" s="165"/>
      <c r="BO151" s="165"/>
    </row>
    <row r="152" spans="1:67" x14ac:dyDescent="0.2">
      <c r="B152" s="126" t="s">
        <v>734</v>
      </c>
      <c r="D152" s="165"/>
      <c r="E152" s="165"/>
      <c r="F152" s="165"/>
      <c r="G152" s="165"/>
      <c r="H152" s="165"/>
      <c r="I152" s="165"/>
      <c r="J152" s="165"/>
      <c r="K152" s="165"/>
      <c r="L152" s="165"/>
      <c r="M152" s="165"/>
      <c r="N152" s="165"/>
      <c r="O152" s="165"/>
      <c r="P152" s="165"/>
      <c r="Q152" s="165"/>
      <c r="R152" s="165"/>
      <c r="S152" s="165"/>
      <c r="T152" s="165"/>
      <c r="U152" s="165"/>
      <c r="V152" s="165"/>
      <c r="W152" s="165"/>
      <c r="X152" s="165"/>
      <c r="Y152" s="165"/>
      <c r="Z152" s="165"/>
      <c r="AA152" s="165"/>
      <c r="AB152" s="165"/>
      <c r="AC152" s="165"/>
      <c r="AD152" s="165"/>
      <c r="AE152" s="165"/>
      <c r="AF152" s="165"/>
      <c r="AG152" s="165"/>
      <c r="AH152" s="165"/>
      <c r="AI152" s="165"/>
      <c r="AJ152" s="165"/>
      <c r="AK152" s="165"/>
      <c r="AL152" s="165"/>
      <c r="AM152" s="165"/>
      <c r="AN152" s="165"/>
      <c r="AO152" s="165"/>
      <c r="AP152" s="165"/>
      <c r="AQ152" s="165"/>
      <c r="AS152" s="165"/>
      <c r="AT152" s="165"/>
      <c r="AU152" s="165"/>
      <c r="AV152" s="165"/>
      <c r="AW152" s="165"/>
      <c r="AX152" s="165"/>
      <c r="AY152" s="165"/>
      <c r="AZ152" s="165"/>
      <c r="BA152" s="165"/>
      <c r="BB152" s="165"/>
      <c r="BC152" s="165"/>
      <c r="BD152" s="168"/>
      <c r="BE152" s="168"/>
      <c r="BF152" s="168"/>
      <c r="BG152" s="168"/>
      <c r="BH152" s="165"/>
      <c r="BI152" s="165"/>
      <c r="BJ152" s="165"/>
      <c r="BK152" s="165"/>
      <c r="BL152" s="168"/>
      <c r="BM152" s="165"/>
      <c r="BN152" s="165"/>
      <c r="BO152" s="165"/>
    </row>
    <row r="153" spans="1:67" x14ac:dyDescent="0.2">
      <c r="B153" s="212" t="s">
        <v>735</v>
      </c>
      <c r="C153" s="105" t="s">
        <v>687</v>
      </c>
      <c r="D153" s="165"/>
      <c r="E153" s="165"/>
      <c r="F153" s="165"/>
      <c r="G153" s="165"/>
      <c r="H153" s="165"/>
      <c r="I153" s="165">
        <v>-1142832</v>
      </c>
      <c r="J153" s="165">
        <v>-2443298</v>
      </c>
      <c r="K153" s="165">
        <v>-4763380</v>
      </c>
      <c r="L153" s="165">
        <v>-7153865</v>
      </c>
      <c r="M153" s="165">
        <v>-7153865</v>
      </c>
      <c r="N153" s="165">
        <v>-2776682</v>
      </c>
      <c r="O153" s="165">
        <v>-4920124</v>
      </c>
      <c r="P153" s="165">
        <v>-7379029</v>
      </c>
      <c r="Q153" s="165">
        <v>-9570723</v>
      </c>
      <c r="R153" s="165">
        <v>-9570723</v>
      </c>
      <c r="S153" s="165">
        <v>-2424849</v>
      </c>
      <c r="T153" s="165">
        <v>-4560705</v>
      </c>
      <c r="U153" s="165">
        <v>-6607670</v>
      </c>
      <c r="V153" s="165">
        <v>-8823007</v>
      </c>
      <c r="W153" s="165">
        <v>-8823007</v>
      </c>
      <c r="X153" s="165">
        <v>-1778734</v>
      </c>
      <c r="Y153" s="165">
        <v>-3554526</v>
      </c>
      <c r="Z153" s="165">
        <v>-5316193</v>
      </c>
      <c r="AA153" s="165">
        <v>-7029582</v>
      </c>
      <c r="AB153" s="165">
        <v>-7029582</v>
      </c>
      <c r="AC153" s="165">
        <v>-1665245</v>
      </c>
      <c r="AD153" s="165">
        <v>-3143525</v>
      </c>
      <c r="AE153" s="165">
        <v>-4895792</v>
      </c>
      <c r="AF153" s="165">
        <v>-6756121</v>
      </c>
      <c r="AG153" s="165">
        <f t="shared" si="131"/>
        <v>-6756121</v>
      </c>
      <c r="AH153" s="165">
        <v>-1757772</v>
      </c>
      <c r="AI153" s="165">
        <v>-3398364</v>
      </c>
      <c r="AJ153" s="165">
        <v>-5059954</v>
      </c>
      <c r="AK153" s="165">
        <v>-6722713</v>
      </c>
      <c r="AL153" s="165">
        <f t="shared" si="132"/>
        <v>-6722713</v>
      </c>
      <c r="AM153" s="165">
        <v>-1743238</v>
      </c>
      <c r="AN153" s="165">
        <v>-3343545</v>
      </c>
      <c r="AO153" s="165">
        <v>-5143166</v>
      </c>
      <c r="AP153" s="165">
        <v>-7331390</v>
      </c>
      <c r="AQ153" s="165">
        <f t="shared" si="133"/>
        <v>-7331390</v>
      </c>
      <c r="AS153" s="165">
        <v>-1598673</v>
      </c>
      <c r="AT153" s="165">
        <v>-3057890</v>
      </c>
      <c r="AU153" s="165">
        <v>-4722978</v>
      </c>
      <c r="AV153" s="165"/>
      <c r="AW153" s="165">
        <v>-6760873.7062698286</v>
      </c>
      <c r="AX153" s="165">
        <v>-1739695</v>
      </c>
      <c r="AY153" s="165">
        <v>-3686587</v>
      </c>
      <c r="AZ153" s="165">
        <v>-5096491</v>
      </c>
      <c r="BA153" s="165"/>
      <c r="BB153" s="165">
        <v>-6663875</v>
      </c>
      <c r="BC153" s="165">
        <v>-1702826</v>
      </c>
      <c r="BD153" s="168">
        <v>-2375684</v>
      </c>
      <c r="BE153" s="168">
        <v>-3054762</v>
      </c>
      <c r="BF153" s="168"/>
      <c r="BG153" s="168">
        <v>-3817339</v>
      </c>
      <c r="BH153" s="165">
        <v>-817439</v>
      </c>
      <c r="BI153" s="165">
        <v>-1713747</v>
      </c>
      <c r="BJ153" s="165">
        <v>-2828225</v>
      </c>
      <c r="BK153" s="165"/>
      <c r="BL153" s="168">
        <v>-4401485</v>
      </c>
      <c r="BM153" s="165">
        <v>-1646167</v>
      </c>
      <c r="BN153" s="165">
        <v>-3799969</v>
      </c>
      <c r="BO153" s="165">
        <v>-6109188</v>
      </c>
    </row>
    <row r="154" spans="1:67" x14ac:dyDescent="0.2">
      <c r="B154" s="212" t="s">
        <v>736</v>
      </c>
      <c r="C154" s="105" t="s">
        <v>687</v>
      </c>
      <c r="D154" s="165"/>
      <c r="E154" s="165"/>
      <c r="F154" s="165"/>
      <c r="G154" s="165"/>
      <c r="H154" s="165"/>
      <c r="I154" s="165">
        <v>-271583</v>
      </c>
      <c r="J154" s="165">
        <v>-515103</v>
      </c>
      <c r="K154" s="165">
        <v>-1165185</v>
      </c>
      <c r="L154" s="165">
        <v>-1938769</v>
      </c>
      <c r="M154" s="165">
        <v>-1938769</v>
      </c>
      <c r="N154" s="165">
        <v>-640524</v>
      </c>
      <c r="O154" s="165">
        <v>-1250371</v>
      </c>
      <c r="P154" s="165">
        <v>-1800612</v>
      </c>
      <c r="Q154" s="165">
        <v>-2405315</v>
      </c>
      <c r="R154" s="165">
        <v>-2405315</v>
      </c>
      <c r="S154" s="165">
        <v>-669386</v>
      </c>
      <c r="T154" s="165">
        <v>-1247868</v>
      </c>
      <c r="U154" s="165">
        <v>-1832337</v>
      </c>
      <c r="V154" s="165">
        <v>-2433652</v>
      </c>
      <c r="W154" s="165">
        <v>-2433652</v>
      </c>
      <c r="X154" s="165">
        <v>-638808</v>
      </c>
      <c r="Y154" s="165">
        <v>-1128812</v>
      </c>
      <c r="Z154" s="165">
        <v>-1669876</v>
      </c>
      <c r="AA154" s="165">
        <v>-2165184.3101882506</v>
      </c>
      <c r="AB154" s="165">
        <v>-2165184.3101882506</v>
      </c>
      <c r="AC154" s="165">
        <v>-581052</v>
      </c>
      <c r="AD154" s="165">
        <v>-1187656</v>
      </c>
      <c r="AE154" s="165">
        <v>-1525978</v>
      </c>
      <c r="AF154" s="165">
        <v>-1820279</v>
      </c>
      <c r="AG154" s="165">
        <f t="shared" si="131"/>
        <v>-1820279</v>
      </c>
      <c r="AH154" s="165">
        <v>-496577</v>
      </c>
      <c r="AI154" s="165">
        <v>-960316</v>
      </c>
      <c r="AJ154" s="165">
        <v>-1475997</v>
      </c>
      <c r="AK154" s="165">
        <v>-1955310</v>
      </c>
      <c r="AL154" s="165">
        <f t="shared" si="132"/>
        <v>-1955310</v>
      </c>
      <c r="AM154" s="165">
        <v>-559714</v>
      </c>
      <c r="AN154" s="165">
        <v>-983543</v>
      </c>
      <c r="AO154" s="165">
        <v>-1395536</v>
      </c>
      <c r="AP154" s="165">
        <v>-1789022</v>
      </c>
      <c r="AQ154" s="165">
        <f t="shared" si="133"/>
        <v>-1789022</v>
      </c>
      <c r="AS154" s="165">
        <v>-559714</v>
      </c>
      <c r="AT154" s="165">
        <v>-983543</v>
      </c>
      <c r="AU154" s="165">
        <v>-1395536</v>
      </c>
      <c r="AV154" s="165"/>
      <c r="AW154" s="165">
        <v>-1789022</v>
      </c>
      <c r="AX154" s="165">
        <v>-504940</v>
      </c>
      <c r="AY154" s="165">
        <v>-974992</v>
      </c>
      <c r="AZ154" s="165">
        <v>-1424201</v>
      </c>
      <c r="BA154" s="165"/>
      <c r="BB154" s="165">
        <v>-1644806</v>
      </c>
      <c r="BC154" s="165">
        <v>-385300</v>
      </c>
      <c r="BD154" s="168">
        <v>-600760</v>
      </c>
      <c r="BE154" s="168">
        <v>-985281</v>
      </c>
      <c r="BF154" s="168"/>
      <c r="BG154" s="168">
        <v>-1227010</v>
      </c>
      <c r="BH154" s="165">
        <v>-249125</v>
      </c>
      <c r="BI154" s="165">
        <v>-477191</v>
      </c>
      <c r="BJ154" s="165">
        <v>-695008</v>
      </c>
      <c r="BK154" s="165"/>
      <c r="BL154" s="168">
        <v>-941068</v>
      </c>
      <c r="BM154" s="165">
        <v>-286876</v>
      </c>
      <c r="BN154" s="165">
        <v>-519223</v>
      </c>
      <c r="BO154" s="165">
        <v>-753567</v>
      </c>
    </row>
    <row r="155" spans="1:67" x14ac:dyDescent="0.2">
      <c r="B155" s="212" t="s">
        <v>737</v>
      </c>
      <c r="C155" s="105" t="s">
        <v>687</v>
      </c>
      <c r="D155" s="165"/>
      <c r="E155" s="165"/>
      <c r="F155" s="165"/>
      <c r="G155" s="165"/>
      <c r="H155" s="165"/>
      <c r="I155" s="165">
        <v>-18000</v>
      </c>
      <c r="J155" s="165">
        <v>-18000</v>
      </c>
      <c r="K155" s="165">
        <v>-18000</v>
      </c>
      <c r="L155" s="165">
        <v>-19325</v>
      </c>
      <c r="M155" s="165">
        <v>-19325</v>
      </c>
      <c r="N155" s="165">
        <v>-18058</v>
      </c>
      <c r="O155" s="165">
        <v>-18213</v>
      </c>
      <c r="P155" s="165">
        <v>-18355</v>
      </c>
      <c r="Q155" s="165">
        <v>-31215</v>
      </c>
      <c r="R155" s="165">
        <v>-31215</v>
      </c>
      <c r="S155" s="165">
        <v>-113362</v>
      </c>
      <c r="T155" s="165">
        <v>-251847</v>
      </c>
      <c r="U155" s="165">
        <v>-362026</v>
      </c>
      <c r="V155" s="165">
        <v>-528214</v>
      </c>
      <c r="W155" s="165">
        <v>-528214</v>
      </c>
      <c r="X155" s="165">
        <v>-73264</v>
      </c>
      <c r="Y155" s="165">
        <v>-151537</v>
      </c>
      <c r="Z155" s="165">
        <v>-231010</v>
      </c>
      <c r="AA155" s="165">
        <v>-351177</v>
      </c>
      <c r="AB155" s="165">
        <v>-351177</v>
      </c>
      <c r="AC155" s="165">
        <v>-44508</v>
      </c>
      <c r="AD155" s="165">
        <v>-86060</v>
      </c>
      <c r="AE155" s="165">
        <v>-130113</v>
      </c>
      <c r="AF155" s="165">
        <v>-162839</v>
      </c>
      <c r="AG155" s="165">
        <f t="shared" si="131"/>
        <v>-162839</v>
      </c>
      <c r="AH155" s="165">
        <v>-63648</v>
      </c>
      <c r="AI155" s="165">
        <v>-112785</v>
      </c>
      <c r="AJ155" s="165">
        <v>-163707</v>
      </c>
      <c r="AK155" s="165">
        <v>-223706</v>
      </c>
      <c r="AL155" s="165">
        <f t="shared" si="132"/>
        <v>-223706</v>
      </c>
      <c r="AM155" s="165">
        <v>-76643</v>
      </c>
      <c r="AN155" s="165">
        <v>-127326</v>
      </c>
      <c r="AO155" s="165">
        <v>-182722</v>
      </c>
      <c r="AP155" s="165">
        <v>-255988</v>
      </c>
      <c r="AQ155" s="165">
        <f t="shared" si="133"/>
        <v>-255988</v>
      </c>
      <c r="AS155" s="165">
        <v>-76643</v>
      </c>
      <c r="AT155" s="165">
        <v>-127326</v>
      </c>
      <c r="AU155" s="165">
        <v>-182722</v>
      </c>
      <c r="AV155" s="165"/>
      <c r="AW155" s="165">
        <v>-255988</v>
      </c>
      <c r="AX155" s="165">
        <v>-51345</v>
      </c>
      <c r="AY155" s="165">
        <v>-152217</v>
      </c>
      <c r="AZ155" s="165">
        <v>-210046</v>
      </c>
      <c r="BA155" s="165"/>
      <c r="BB155" s="165">
        <v>-267643</v>
      </c>
      <c r="BC155" s="165">
        <v>-38866</v>
      </c>
      <c r="BD155" s="168">
        <v>-45569</v>
      </c>
      <c r="BE155" s="168">
        <v>-56367</v>
      </c>
      <c r="BF155" s="168"/>
      <c r="BG155" s="168">
        <v>-70558</v>
      </c>
      <c r="BH155" s="165">
        <v>-31634</v>
      </c>
      <c r="BI155" s="165">
        <v>-47158</v>
      </c>
      <c r="BJ155" s="165">
        <v>-81266</v>
      </c>
      <c r="BK155" s="165"/>
      <c r="BL155" s="168">
        <v>-156395</v>
      </c>
      <c r="BM155" s="165">
        <v>-74758</v>
      </c>
      <c r="BN155" s="165">
        <v>-132406</v>
      </c>
      <c r="BO155" s="165">
        <v>-202525</v>
      </c>
    </row>
    <row r="156" spans="1:67" x14ac:dyDescent="0.2">
      <c r="B156" s="212" t="s">
        <v>738</v>
      </c>
      <c r="C156" s="105" t="s">
        <v>687</v>
      </c>
      <c r="D156" s="165"/>
      <c r="E156" s="165"/>
      <c r="F156" s="165"/>
      <c r="G156" s="165"/>
      <c r="H156" s="165"/>
      <c r="I156" s="165">
        <v>-2908</v>
      </c>
      <c r="J156" s="165">
        <v>-29470</v>
      </c>
      <c r="K156" s="165">
        <v>-27518</v>
      </c>
      <c r="L156" s="165">
        <v>-3018</v>
      </c>
      <c r="M156" s="165">
        <v>-3018</v>
      </c>
      <c r="N156" s="165">
        <v>-25643</v>
      </c>
      <c r="O156" s="165">
        <v>-47493</v>
      </c>
      <c r="P156" s="165">
        <v>-54842</v>
      </c>
      <c r="Q156" s="165">
        <v>-83033</v>
      </c>
      <c r="R156" s="165">
        <v>-83033</v>
      </c>
      <c r="S156" s="165">
        <v>-22558</v>
      </c>
      <c r="T156" s="165">
        <v>-49969</v>
      </c>
      <c r="U156" s="165">
        <v>-79234</v>
      </c>
      <c r="V156" s="165">
        <v>-108389</v>
      </c>
      <c r="W156" s="165">
        <v>-108389</v>
      </c>
      <c r="X156" s="165">
        <v>-13586</v>
      </c>
      <c r="Y156" s="165">
        <v>-20878</v>
      </c>
      <c r="Z156" s="165">
        <v>-30077</v>
      </c>
      <c r="AA156" s="165">
        <v>-57963</v>
      </c>
      <c r="AB156" s="165">
        <v>-57963</v>
      </c>
      <c r="AC156" s="165">
        <v>-12016</v>
      </c>
      <c r="AD156" s="165">
        <v>-33127</v>
      </c>
      <c r="AE156" s="165">
        <v>-47483</v>
      </c>
      <c r="AF156" s="165">
        <v>-59556</v>
      </c>
      <c r="AG156" s="165">
        <f t="shared" si="131"/>
        <v>-59556</v>
      </c>
      <c r="AH156" s="165">
        <v>-18803</v>
      </c>
      <c r="AI156" s="165">
        <v>-71703</v>
      </c>
      <c r="AJ156" s="165">
        <v>-85731</v>
      </c>
      <c r="AK156" s="165">
        <v>-91986</v>
      </c>
      <c r="AL156" s="165">
        <f t="shared" si="132"/>
        <v>-91986</v>
      </c>
      <c r="AM156" s="165">
        <v>-11796</v>
      </c>
      <c r="AN156" s="165">
        <v>-40145</v>
      </c>
      <c r="AO156" s="165">
        <v>-50426</v>
      </c>
      <c r="AP156" s="165">
        <v>-29186</v>
      </c>
      <c r="AQ156" s="165">
        <f t="shared" si="133"/>
        <v>-29186</v>
      </c>
      <c r="AS156" s="165">
        <v>-11796</v>
      </c>
      <c r="AT156" s="165">
        <v>-40145</v>
      </c>
      <c r="AU156" s="165">
        <v>-50426</v>
      </c>
      <c r="AV156" s="165"/>
      <c r="AW156" s="165">
        <v>-29186</v>
      </c>
      <c r="AX156" s="165">
        <v>-12719</v>
      </c>
      <c r="AY156" s="165">
        <v>-29750</v>
      </c>
      <c r="AZ156" s="165">
        <v>-32566</v>
      </c>
      <c r="BA156" s="165"/>
      <c r="BB156" s="165">
        <v>-45311</v>
      </c>
      <c r="BC156" s="165">
        <v>-49056</v>
      </c>
      <c r="BD156" s="168">
        <v>-55164</v>
      </c>
      <c r="BE156" s="168">
        <v>-55206</v>
      </c>
      <c r="BF156" s="168"/>
      <c r="BG156" s="168">
        <v>-65692</v>
      </c>
      <c r="BH156" s="165">
        <v>-16890</v>
      </c>
      <c r="BI156" s="165">
        <v>-30402</v>
      </c>
      <c r="BJ156" s="165">
        <v>-46404</v>
      </c>
      <c r="BK156" s="165"/>
      <c r="BL156" s="168">
        <v>-9437</v>
      </c>
      <c r="BM156" s="165">
        <v>-4777</v>
      </c>
      <c r="BN156" s="165">
        <v>-8411</v>
      </c>
      <c r="BO156" s="165">
        <v>-12344</v>
      </c>
    </row>
    <row r="157" spans="1:67" x14ac:dyDescent="0.2">
      <c r="B157" s="212" t="s">
        <v>739</v>
      </c>
      <c r="C157" s="105" t="s">
        <v>687</v>
      </c>
      <c r="D157" s="165"/>
      <c r="E157" s="165"/>
      <c r="F157" s="165"/>
      <c r="G157" s="165"/>
      <c r="H157" s="165"/>
      <c r="I157" s="165">
        <v>5140</v>
      </c>
      <c r="J157" s="165">
        <v>5622</v>
      </c>
      <c r="K157" s="165">
        <v>-58793</v>
      </c>
      <c r="L157" s="165">
        <v>-50433</v>
      </c>
      <c r="M157" s="165">
        <v>-50433</v>
      </c>
      <c r="N157" s="165">
        <v>55656</v>
      </c>
      <c r="O157" s="165">
        <v>46381</v>
      </c>
      <c r="P157" s="165">
        <v>70137</v>
      </c>
      <c r="Q157" s="165">
        <v>76761</v>
      </c>
      <c r="R157" s="165">
        <v>76761</v>
      </c>
      <c r="S157" s="165">
        <v>6970</v>
      </c>
      <c r="T157" s="165">
        <v>4721</v>
      </c>
      <c r="U157" s="165">
        <v>-30026</v>
      </c>
      <c r="V157" s="165">
        <v>-251657</v>
      </c>
      <c r="W157" s="165">
        <v>-251657</v>
      </c>
      <c r="X157" s="165">
        <v>-123659</v>
      </c>
      <c r="Y157" s="165">
        <v>-93879</v>
      </c>
      <c r="Z157" s="165">
        <v>-191865</v>
      </c>
      <c r="AA157" s="165">
        <v>-184627</v>
      </c>
      <c r="AB157" s="165">
        <v>-184627</v>
      </c>
      <c r="AC157" s="165">
        <v>-32346</v>
      </c>
      <c r="AD157" s="165">
        <v>-68147</v>
      </c>
      <c r="AE157" s="165">
        <v>-126739.894</v>
      </c>
      <c r="AF157" s="165">
        <v>-209269</v>
      </c>
      <c r="AG157" s="165">
        <f t="shared" si="131"/>
        <v>-209269</v>
      </c>
      <c r="AH157" s="165">
        <v>-26201</v>
      </c>
      <c r="AI157" s="165">
        <v>-41968</v>
      </c>
      <c r="AJ157" s="165">
        <v>-59480</v>
      </c>
      <c r="AK157" s="165">
        <v>-8931</v>
      </c>
      <c r="AL157" s="165">
        <f t="shared" si="132"/>
        <v>-8931</v>
      </c>
      <c r="AM157" s="165">
        <v>-6322</v>
      </c>
      <c r="AN157" s="165">
        <v>-15745</v>
      </c>
      <c r="AO157" s="165">
        <v>-9754</v>
      </c>
      <c r="AP157" s="165">
        <v>39612</v>
      </c>
      <c r="AQ157" s="165">
        <f t="shared" si="133"/>
        <v>39612</v>
      </c>
      <c r="AS157" s="165">
        <v>-6322</v>
      </c>
      <c r="AT157" s="165">
        <v>-15745</v>
      </c>
      <c r="AU157" s="165">
        <v>-9754</v>
      </c>
      <c r="AV157" s="165"/>
      <c r="AW157" s="165">
        <v>39612</v>
      </c>
      <c r="AX157" s="165">
        <v>-27988</v>
      </c>
      <c r="AY157" s="165">
        <v>-26071</v>
      </c>
      <c r="AZ157" s="165">
        <v>117423</v>
      </c>
      <c r="BA157" s="165"/>
      <c r="BB157" s="165">
        <v>241286</v>
      </c>
      <c r="BC157" s="165">
        <v>-86436</v>
      </c>
      <c r="BD157" s="168">
        <v>38876</v>
      </c>
      <c r="BE157" s="168">
        <v>22282</v>
      </c>
      <c r="BF157" s="168"/>
      <c r="BG157" s="168">
        <v>13593</v>
      </c>
      <c r="BH157" s="165">
        <v>-15636</v>
      </c>
      <c r="BI157" s="165">
        <v>-23358</v>
      </c>
      <c r="BJ157" s="165">
        <v>-49657</v>
      </c>
      <c r="BK157" s="165"/>
      <c r="BL157" s="168">
        <v>-87576</v>
      </c>
      <c r="BM157" s="165">
        <v>-23816</v>
      </c>
      <c r="BN157" s="165">
        <v>-56282</v>
      </c>
      <c r="BO157" s="165">
        <v>-83289</v>
      </c>
    </row>
    <row r="158" spans="1:67" x14ac:dyDescent="0.2">
      <c r="B158" s="217"/>
      <c r="D158" s="165"/>
      <c r="E158" s="165"/>
      <c r="F158" s="165"/>
      <c r="G158" s="165"/>
      <c r="H158" s="165"/>
      <c r="I158" s="165"/>
      <c r="J158" s="165"/>
      <c r="K158" s="165"/>
      <c r="L158" s="165"/>
      <c r="M158" s="165"/>
      <c r="N158" s="165"/>
      <c r="O158" s="165"/>
      <c r="P158" s="165"/>
      <c r="Q158" s="165"/>
      <c r="R158" s="165"/>
      <c r="S158" s="165"/>
      <c r="T158" s="165"/>
      <c r="U158" s="165"/>
      <c r="V158" s="165"/>
      <c r="W158" s="165"/>
      <c r="X158" s="165"/>
      <c r="Y158" s="165"/>
      <c r="Z158" s="165"/>
      <c r="AA158" s="165"/>
      <c r="AB158" s="165"/>
      <c r="AC158" s="165"/>
      <c r="AD158" s="165"/>
      <c r="AE158" s="165"/>
      <c r="AF158" s="165"/>
      <c r="AG158" s="165"/>
      <c r="AH158" s="165"/>
      <c r="AI158" s="165"/>
      <c r="AJ158" s="165"/>
      <c r="AK158" s="165"/>
      <c r="AL158" s="165"/>
      <c r="AM158" s="165"/>
      <c r="AN158" s="165"/>
      <c r="AO158" s="165"/>
      <c r="AP158" s="165"/>
      <c r="AQ158" s="165"/>
      <c r="AS158" s="165"/>
      <c r="AT158" s="165"/>
      <c r="AU158" s="165"/>
      <c r="AV158" s="165"/>
      <c r="AW158" s="165"/>
      <c r="AX158" s="165"/>
      <c r="AY158" s="165"/>
      <c r="AZ158" s="165"/>
      <c r="BA158" s="165"/>
      <c r="BB158" s="165"/>
      <c r="BC158" s="165"/>
      <c r="BD158" s="168"/>
      <c r="BE158" s="168"/>
      <c r="BF158" s="168"/>
      <c r="BG158" s="168"/>
      <c r="BH158" s="165"/>
      <c r="BI158" s="165"/>
      <c r="BJ158" s="165"/>
      <c r="BK158" s="165"/>
      <c r="BL158" s="168"/>
      <c r="BM158" s="165"/>
      <c r="BN158" s="165"/>
      <c r="BO158" s="165"/>
    </row>
    <row r="159" spans="1:67" s="126" customFormat="1" x14ac:dyDescent="0.2">
      <c r="B159" s="126" t="s">
        <v>740</v>
      </c>
      <c r="C159" s="218" t="s">
        <v>687</v>
      </c>
      <c r="D159" s="210"/>
      <c r="E159" s="210"/>
      <c r="F159" s="210"/>
      <c r="G159" s="210"/>
      <c r="H159" s="210"/>
      <c r="I159" s="210">
        <v>120992</v>
      </c>
      <c r="J159" s="210">
        <v>298784</v>
      </c>
      <c r="K159" s="210">
        <v>686863</v>
      </c>
      <c r="L159" s="210">
        <v>1203812</v>
      </c>
      <c r="M159" s="210">
        <f t="shared" ref="M159:AQ159" si="134">SUM(M149:M157)</f>
        <v>1150826</v>
      </c>
      <c r="N159" s="210">
        <f t="shared" si="134"/>
        <v>-111928</v>
      </c>
      <c r="O159" s="210">
        <f t="shared" si="134"/>
        <v>98769</v>
      </c>
      <c r="P159" s="210">
        <f t="shared" si="134"/>
        <v>647550</v>
      </c>
      <c r="Q159" s="210">
        <f t="shared" si="134"/>
        <v>1397388</v>
      </c>
      <c r="R159" s="210">
        <f t="shared" si="134"/>
        <v>1397388</v>
      </c>
      <c r="S159" s="210">
        <f t="shared" si="134"/>
        <v>23210</v>
      </c>
      <c r="T159" s="210">
        <f t="shared" si="134"/>
        <v>388568</v>
      </c>
      <c r="U159" s="210">
        <f t="shared" si="134"/>
        <v>599185</v>
      </c>
      <c r="V159" s="210">
        <f t="shared" si="134"/>
        <v>1319850</v>
      </c>
      <c r="W159" s="210">
        <f t="shared" si="134"/>
        <v>1319850</v>
      </c>
      <c r="X159" s="210">
        <f t="shared" si="134"/>
        <v>356720</v>
      </c>
      <c r="Y159" s="210">
        <f t="shared" si="134"/>
        <v>794986</v>
      </c>
      <c r="Z159" s="210">
        <f t="shared" si="134"/>
        <v>1177062</v>
      </c>
      <c r="AA159" s="210">
        <f t="shared" si="134"/>
        <v>1672100.6898117494</v>
      </c>
      <c r="AB159" s="210">
        <f t="shared" si="134"/>
        <v>1672100.6898117494</v>
      </c>
      <c r="AC159" s="210">
        <f t="shared" si="134"/>
        <v>65711</v>
      </c>
      <c r="AD159" s="210">
        <f t="shared" si="134"/>
        <v>413587</v>
      </c>
      <c r="AE159" s="210">
        <f t="shared" si="134"/>
        <v>609649.00000000035</v>
      </c>
      <c r="AF159" s="210">
        <f t="shared" si="134"/>
        <v>980884</v>
      </c>
      <c r="AG159" s="210">
        <f t="shared" si="134"/>
        <v>980884</v>
      </c>
      <c r="AH159" s="210">
        <f t="shared" si="134"/>
        <v>167845</v>
      </c>
      <c r="AI159" s="210">
        <f t="shared" si="134"/>
        <v>469505</v>
      </c>
      <c r="AJ159" s="210">
        <f t="shared" si="134"/>
        <v>956307</v>
      </c>
      <c r="AK159" s="210">
        <f t="shared" si="134"/>
        <v>1666740</v>
      </c>
      <c r="AL159" s="210">
        <f t="shared" si="134"/>
        <v>1666740</v>
      </c>
      <c r="AM159" s="210">
        <f t="shared" si="134"/>
        <v>325907</v>
      </c>
      <c r="AN159" s="210">
        <f t="shared" si="134"/>
        <v>461050</v>
      </c>
      <c r="AO159" s="210">
        <f t="shared" si="134"/>
        <v>735983</v>
      </c>
      <c r="AP159" s="210">
        <f t="shared" si="134"/>
        <v>1516930</v>
      </c>
      <c r="AQ159" s="210">
        <f t="shared" si="134"/>
        <v>1516930</v>
      </c>
      <c r="AS159" s="210">
        <f t="shared" ref="AS159:AU159" si="135">SUM(AS149:AS157)</f>
        <v>470472</v>
      </c>
      <c r="AT159" s="210">
        <f t="shared" si="135"/>
        <v>746705</v>
      </c>
      <c r="AU159" s="210">
        <f t="shared" si="135"/>
        <v>1156171</v>
      </c>
      <c r="AV159" s="210"/>
      <c r="AW159" s="210">
        <f>SUM(AW149:AW157)</f>
        <v>2087446.2937301714</v>
      </c>
      <c r="AX159" s="210">
        <f>SUM(AX149:AX157)</f>
        <v>226545</v>
      </c>
      <c r="AY159" s="210">
        <f>SUM(AY149:AY157)</f>
        <v>849297</v>
      </c>
      <c r="AZ159" s="210">
        <f t="shared" ref="AZ159" si="136">SUM(AZ149:AZ157)</f>
        <v>1649597</v>
      </c>
      <c r="BA159" s="210"/>
      <c r="BB159" s="210">
        <f t="shared" ref="BB159:BC159" si="137">SUM(BB149:BB157)</f>
        <v>2826667</v>
      </c>
      <c r="BC159" s="210">
        <f t="shared" si="137"/>
        <v>181336</v>
      </c>
      <c r="BD159" s="211">
        <f>SUM(BD149:BD157)</f>
        <v>173400</v>
      </c>
      <c r="BE159" s="211">
        <f>SUM(BE149:BE157)</f>
        <v>-327279</v>
      </c>
      <c r="BF159" s="211"/>
      <c r="BG159" s="211">
        <f t="shared" ref="BG159:BJ159" si="138">SUM(BG149:BG157)</f>
        <v>-494697</v>
      </c>
      <c r="BH159" s="210">
        <f t="shared" si="138"/>
        <v>-199308</v>
      </c>
      <c r="BI159" s="210">
        <f t="shared" si="138"/>
        <v>-367476</v>
      </c>
      <c r="BJ159" s="210">
        <f t="shared" si="138"/>
        <v>-359777</v>
      </c>
      <c r="BK159" s="210"/>
      <c r="BL159" s="211">
        <f t="shared" ref="BL159:BO159" si="139">SUM(BL149:BL157)</f>
        <v>-184099</v>
      </c>
      <c r="BM159" s="210">
        <f t="shared" si="139"/>
        <v>-3897</v>
      </c>
      <c r="BN159" s="210">
        <f t="shared" si="139"/>
        <v>230874</v>
      </c>
      <c r="BO159" s="210">
        <f t="shared" si="139"/>
        <v>457081</v>
      </c>
    </row>
    <row r="160" spans="1:67" x14ac:dyDescent="0.2">
      <c r="B160" s="217"/>
      <c r="D160" s="165"/>
      <c r="E160" s="165"/>
      <c r="F160" s="165"/>
      <c r="G160" s="165"/>
      <c r="H160" s="165"/>
      <c r="I160" s="165"/>
      <c r="J160" s="165"/>
      <c r="K160" s="165"/>
      <c r="L160" s="165"/>
      <c r="M160" s="165"/>
      <c r="N160" s="165"/>
      <c r="O160" s="165"/>
      <c r="P160" s="165"/>
      <c r="Q160" s="165"/>
      <c r="R160" s="165"/>
      <c r="S160" s="165"/>
      <c r="T160" s="165"/>
      <c r="U160" s="165"/>
      <c r="V160" s="165"/>
      <c r="W160" s="165"/>
      <c r="X160" s="165"/>
      <c r="Y160" s="165"/>
      <c r="Z160" s="165"/>
      <c r="AA160" s="165"/>
      <c r="AB160" s="165"/>
      <c r="AC160" s="165"/>
      <c r="AD160" s="165"/>
      <c r="AE160" s="165"/>
      <c r="AF160" s="165"/>
      <c r="AG160" s="165"/>
      <c r="AH160" s="165"/>
      <c r="AI160" s="165"/>
      <c r="AJ160" s="165"/>
      <c r="AK160" s="165"/>
      <c r="AL160" s="165"/>
      <c r="AM160" s="165"/>
      <c r="AN160" s="165"/>
      <c r="AO160" s="165"/>
      <c r="AP160" s="165"/>
      <c r="AQ160" s="165"/>
      <c r="AS160" s="165"/>
      <c r="AT160" s="165"/>
      <c r="AU160" s="165"/>
      <c r="AV160" s="165"/>
      <c r="AW160" s="165"/>
      <c r="AX160" s="165"/>
      <c r="AY160" s="165"/>
      <c r="AZ160" s="165"/>
      <c r="BA160" s="165"/>
      <c r="BB160" s="165"/>
      <c r="BC160" s="165"/>
      <c r="BD160" s="168"/>
      <c r="BE160" s="168"/>
      <c r="BF160" s="168"/>
      <c r="BG160" s="168"/>
      <c r="BH160" s="165"/>
      <c r="BI160" s="165"/>
      <c r="BJ160" s="165"/>
      <c r="BK160" s="165"/>
      <c r="BL160" s="168"/>
      <c r="BM160" s="165"/>
      <c r="BN160" s="165"/>
      <c r="BO160" s="165"/>
    </row>
    <row r="161" spans="1:67" x14ac:dyDescent="0.2">
      <c r="A161" s="126" t="s">
        <v>741</v>
      </c>
      <c r="D161" s="210"/>
      <c r="E161" s="210"/>
      <c r="F161" s="210"/>
      <c r="G161" s="210"/>
      <c r="H161" s="210"/>
      <c r="I161" s="210"/>
      <c r="J161" s="210"/>
      <c r="K161" s="210"/>
      <c r="L161" s="210"/>
      <c r="M161" s="210"/>
      <c r="N161" s="210"/>
      <c r="O161" s="210"/>
      <c r="P161" s="210"/>
      <c r="Q161" s="210"/>
      <c r="R161" s="210"/>
      <c r="S161" s="210"/>
      <c r="T161" s="210"/>
      <c r="U161" s="210"/>
      <c r="V161" s="210"/>
      <c r="W161" s="210"/>
      <c r="X161" s="210"/>
      <c r="Y161" s="210"/>
      <c r="Z161" s="210"/>
      <c r="AA161" s="210"/>
      <c r="AB161" s="210"/>
      <c r="AC161" s="210"/>
      <c r="AD161" s="210"/>
      <c r="AE161" s="210"/>
      <c r="AF161" s="210"/>
      <c r="AG161" s="210"/>
      <c r="AH161" s="210"/>
      <c r="AI161" s="210"/>
      <c r="AJ161" s="210"/>
      <c r="AK161" s="210"/>
      <c r="AL161" s="210"/>
      <c r="AM161" s="210"/>
      <c r="AN161" s="210"/>
      <c r="AO161" s="210"/>
      <c r="AP161" s="210"/>
      <c r="AQ161" s="210"/>
      <c r="AS161" s="210"/>
      <c r="AT161" s="210"/>
      <c r="AU161" s="210"/>
      <c r="AV161" s="210"/>
      <c r="AW161" s="210"/>
      <c r="AX161" s="210"/>
      <c r="AY161" s="210"/>
      <c r="AZ161" s="210"/>
      <c r="BA161" s="210"/>
      <c r="BB161" s="210"/>
      <c r="BC161" s="165"/>
      <c r="BD161" s="168"/>
      <c r="BE161" s="168"/>
      <c r="BF161" s="211"/>
      <c r="BG161" s="211"/>
      <c r="BH161" s="165"/>
      <c r="BI161" s="165"/>
      <c r="BJ161" s="165"/>
      <c r="BK161" s="165"/>
      <c r="BL161" s="211"/>
      <c r="BM161" s="165"/>
      <c r="BN161" s="165"/>
      <c r="BO161" s="165"/>
    </row>
    <row r="162" spans="1:67" ht="15" x14ac:dyDescent="0.2">
      <c r="A162" s="126"/>
      <c r="B162" s="216" t="s">
        <v>742</v>
      </c>
      <c r="D162" s="210"/>
      <c r="E162" s="210"/>
      <c r="F162" s="210"/>
      <c r="G162" s="210"/>
      <c r="H162" s="210"/>
      <c r="I162" s="210"/>
      <c r="J162" s="210"/>
      <c r="K162" s="210"/>
      <c r="L162" s="210"/>
      <c r="M162" s="210"/>
      <c r="N162" s="210"/>
      <c r="O162" s="210"/>
      <c r="P162" s="210"/>
      <c r="Q162" s="210"/>
      <c r="R162" s="210"/>
      <c r="S162" s="210"/>
      <c r="T162" s="210"/>
      <c r="U162" s="210"/>
      <c r="V162" s="210"/>
      <c r="W162" s="210"/>
      <c r="X162" s="210"/>
      <c r="Y162" s="210"/>
      <c r="Z162" s="210"/>
      <c r="AA162" s="210"/>
      <c r="AB162" s="210"/>
      <c r="AC162" s="210"/>
      <c r="AD162" s="210"/>
      <c r="AE162" s="210"/>
      <c r="AF162" s="210"/>
      <c r="AG162" s="210"/>
      <c r="AH162" s="210"/>
      <c r="AI162" s="165">
        <v>6124</v>
      </c>
      <c r="AJ162" s="165">
        <v>6124</v>
      </c>
      <c r="AK162" s="210">
        <v>6503</v>
      </c>
      <c r="AL162" s="165">
        <f t="shared" si="132"/>
        <v>6503</v>
      </c>
      <c r="AM162" s="165"/>
      <c r="AN162" s="165">
        <v>40248</v>
      </c>
      <c r="AO162" s="165">
        <v>40248</v>
      </c>
      <c r="AP162" s="165">
        <v>69724</v>
      </c>
      <c r="AQ162" s="165">
        <f t="shared" si="133"/>
        <v>69724</v>
      </c>
      <c r="AS162" s="165"/>
      <c r="AT162" s="165">
        <v>40248</v>
      </c>
      <c r="AU162" s="165">
        <v>40248</v>
      </c>
      <c r="AV162" s="165"/>
      <c r="AW162" s="165">
        <v>69724</v>
      </c>
      <c r="AX162" s="165"/>
      <c r="AY162" s="165"/>
      <c r="AZ162" s="165">
        <v>0</v>
      </c>
      <c r="BA162" s="165"/>
      <c r="BB162" s="165">
        <v>0</v>
      </c>
      <c r="BC162" s="165"/>
      <c r="BD162" s="168"/>
      <c r="BE162" s="168"/>
      <c r="BF162" s="168"/>
      <c r="BG162" s="168"/>
      <c r="BH162" s="165"/>
      <c r="BI162" s="165"/>
      <c r="BJ162" s="165"/>
      <c r="BK162" s="165"/>
      <c r="BL162" s="168">
        <v>752</v>
      </c>
      <c r="BM162" s="165"/>
      <c r="BN162" s="165"/>
      <c r="BO162" s="165"/>
    </row>
    <row r="163" spans="1:67" ht="15" x14ac:dyDescent="0.2">
      <c r="A163" s="126"/>
      <c r="B163" s="216" t="s">
        <v>743</v>
      </c>
      <c r="D163" s="210"/>
      <c r="E163" s="210"/>
      <c r="F163" s="210"/>
      <c r="G163" s="210"/>
      <c r="H163" s="210"/>
      <c r="I163" s="210"/>
      <c r="J163" s="210"/>
      <c r="K163" s="210"/>
      <c r="L163" s="210"/>
      <c r="M163" s="210"/>
      <c r="N163" s="210"/>
      <c r="O163" s="210"/>
      <c r="P163" s="210"/>
      <c r="Q163" s="210"/>
      <c r="R163" s="210"/>
      <c r="S163" s="210"/>
      <c r="T163" s="210"/>
      <c r="U163" s="210"/>
      <c r="V163" s="210"/>
      <c r="W163" s="210"/>
      <c r="X163" s="210"/>
      <c r="Y163" s="210"/>
      <c r="Z163" s="210"/>
      <c r="AA163" s="210"/>
      <c r="AB163" s="210"/>
      <c r="AC163" s="210"/>
      <c r="AD163" s="210"/>
      <c r="AE163" s="210"/>
      <c r="AF163" s="210"/>
      <c r="AG163" s="210"/>
      <c r="AH163" s="210"/>
      <c r="AI163" s="165"/>
      <c r="AJ163" s="165"/>
      <c r="AK163" s="210"/>
      <c r="AL163" s="165"/>
      <c r="AM163" s="165"/>
      <c r="AN163" s="165"/>
      <c r="AO163" s="165"/>
      <c r="AP163" s="165"/>
      <c r="AQ163" s="165"/>
      <c r="AS163" s="165"/>
      <c r="AT163" s="165">
        <v>0</v>
      </c>
      <c r="AU163" s="165">
        <v>0</v>
      </c>
      <c r="AV163" s="165"/>
      <c r="AW163" s="165"/>
      <c r="AX163" s="165"/>
      <c r="AY163" s="165">
        <v>-6</v>
      </c>
      <c r="AZ163" s="165">
        <v>-5</v>
      </c>
      <c r="BA163" s="165"/>
      <c r="BB163" s="165"/>
      <c r="BC163" s="165"/>
      <c r="BD163" s="168"/>
      <c r="BE163" s="168"/>
      <c r="BF163" s="168"/>
      <c r="BG163" s="168"/>
      <c r="BH163" s="165"/>
      <c r="BI163" s="165"/>
      <c r="BJ163" s="165"/>
      <c r="BK163" s="165"/>
      <c r="BL163" s="168"/>
      <c r="BM163" s="165"/>
      <c r="BN163" s="165"/>
      <c r="BO163" s="165"/>
    </row>
    <row r="164" spans="1:67" ht="15" x14ac:dyDescent="0.2">
      <c r="A164" s="126"/>
      <c r="B164" s="216" t="s">
        <v>744</v>
      </c>
      <c r="D164" s="210"/>
      <c r="E164" s="210"/>
      <c r="F164" s="210"/>
      <c r="G164" s="210"/>
      <c r="H164" s="210"/>
      <c r="I164" s="210"/>
      <c r="J164" s="210"/>
      <c r="K164" s="210"/>
      <c r="L164" s="210"/>
      <c r="M164" s="210"/>
      <c r="N164" s="210"/>
      <c r="O164" s="210"/>
      <c r="P164" s="210"/>
      <c r="Q164" s="210"/>
      <c r="R164" s="210"/>
      <c r="S164" s="210"/>
      <c r="T164" s="210"/>
      <c r="U164" s="210"/>
      <c r="V164" s="210"/>
      <c r="W164" s="210"/>
      <c r="X164" s="210"/>
      <c r="Y164" s="210"/>
      <c r="Z164" s="210"/>
      <c r="AA164" s="210"/>
      <c r="AB164" s="210"/>
      <c r="AC164" s="210"/>
      <c r="AD164" s="210"/>
      <c r="AE164" s="210"/>
      <c r="AF164" s="210"/>
      <c r="AG164" s="210"/>
      <c r="AH164" s="210"/>
      <c r="AI164" s="165"/>
      <c r="AJ164" s="165"/>
      <c r="AK164" s="210"/>
      <c r="AL164" s="165"/>
      <c r="AM164" s="165"/>
      <c r="AN164" s="165"/>
      <c r="AO164" s="165"/>
      <c r="AP164" s="165">
        <v>-2</v>
      </c>
      <c r="AQ164" s="165">
        <f t="shared" si="133"/>
        <v>-2</v>
      </c>
      <c r="AS164" s="165"/>
      <c r="AT164" s="165"/>
      <c r="AU164" s="165">
        <v>0</v>
      </c>
      <c r="AV164" s="165"/>
      <c r="AW164" s="165">
        <v>-2</v>
      </c>
      <c r="AX164" s="165"/>
      <c r="AY164" s="165">
        <v>-289582</v>
      </c>
      <c r="AZ164" s="165">
        <v>-294105</v>
      </c>
      <c r="BA164" s="165"/>
      <c r="BB164" s="165">
        <v>-294105</v>
      </c>
      <c r="BC164" s="165"/>
      <c r="BD164" s="168"/>
      <c r="BE164" s="168"/>
      <c r="BF164" s="168"/>
      <c r="BG164" s="168"/>
      <c r="BH164" s="165"/>
      <c r="BI164" s="165"/>
      <c r="BJ164" s="165"/>
      <c r="BK164" s="165"/>
      <c r="BL164" s="168"/>
      <c r="BM164" s="165"/>
      <c r="BN164" s="165"/>
      <c r="BO164" s="165"/>
    </row>
    <row r="165" spans="1:67" ht="15" x14ac:dyDescent="0.2">
      <c r="B165" s="216" t="s">
        <v>745</v>
      </c>
      <c r="C165" s="105" t="s">
        <v>687</v>
      </c>
      <c r="D165" s="165"/>
      <c r="E165" s="165"/>
      <c r="F165" s="165"/>
      <c r="G165" s="165"/>
      <c r="H165" s="165"/>
      <c r="I165" s="165"/>
      <c r="J165" s="165"/>
      <c r="K165" s="165">
        <v>-3236</v>
      </c>
      <c r="L165" s="165">
        <v>-3223</v>
      </c>
      <c r="M165" s="165">
        <v>-3223</v>
      </c>
      <c r="N165" s="165" t="s">
        <v>58</v>
      </c>
      <c r="O165" s="165"/>
      <c r="P165" s="165">
        <v>-5510</v>
      </c>
      <c r="Q165" s="165">
        <v>-5517</v>
      </c>
      <c r="R165" s="165">
        <v>-5517</v>
      </c>
      <c r="S165" s="165">
        <v>2</v>
      </c>
      <c r="T165" s="165"/>
      <c r="U165" s="165"/>
      <c r="V165" s="165"/>
      <c r="W165" s="165"/>
      <c r="X165" s="165"/>
      <c r="Y165" s="165"/>
      <c r="Z165" s="165"/>
      <c r="AA165" s="165"/>
      <c r="AB165" s="165"/>
      <c r="AC165" s="165"/>
      <c r="AD165" s="165"/>
      <c r="AE165" s="165"/>
      <c r="AF165" s="165"/>
      <c r="AG165" s="165"/>
      <c r="AH165" s="165"/>
      <c r="AI165" s="165"/>
      <c r="AJ165" s="165"/>
      <c r="AK165" s="165"/>
      <c r="AL165" s="165"/>
      <c r="AM165" s="165"/>
      <c r="AN165" s="165"/>
      <c r="AO165" s="165"/>
      <c r="AP165" s="165"/>
      <c r="AQ165" s="165"/>
      <c r="AS165" s="165"/>
      <c r="AT165" s="165"/>
      <c r="AU165" s="165"/>
      <c r="AV165" s="165"/>
      <c r="AW165" s="165"/>
      <c r="AX165" s="165"/>
      <c r="AY165" s="165"/>
      <c r="AZ165" s="165"/>
      <c r="BA165" s="165"/>
      <c r="BB165" s="165"/>
      <c r="BC165" s="165"/>
      <c r="BD165" s="168"/>
      <c r="BE165" s="168"/>
      <c r="BF165" s="168"/>
      <c r="BG165" s="168"/>
      <c r="BH165" s="165"/>
      <c r="BI165" s="165"/>
      <c r="BJ165" s="165"/>
      <c r="BK165" s="165"/>
      <c r="BL165" s="168"/>
      <c r="BM165" s="165"/>
      <c r="BN165" s="165"/>
      <c r="BO165" s="165"/>
    </row>
    <row r="166" spans="1:67" ht="15" x14ac:dyDescent="0.2">
      <c r="B166" s="216" t="s">
        <v>746</v>
      </c>
      <c r="C166" s="105" t="s">
        <v>687</v>
      </c>
      <c r="D166" s="165"/>
      <c r="E166" s="165"/>
      <c r="F166" s="165"/>
      <c r="G166" s="165"/>
      <c r="H166" s="165"/>
      <c r="I166" s="165"/>
      <c r="J166" s="165"/>
      <c r="K166" s="165"/>
      <c r="L166" s="165"/>
      <c r="M166" s="165"/>
      <c r="N166" s="165"/>
      <c r="O166" s="165"/>
      <c r="P166" s="165"/>
      <c r="Q166" s="165">
        <v>-497</v>
      </c>
      <c r="R166" s="165">
        <v>-497</v>
      </c>
      <c r="S166" s="165"/>
      <c r="T166" s="165"/>
      <c r="U166" s="165"/>
      <c r="V166" s="165"/>
      <c r="W166" s="165"/>
      <c r="X166" s="165"/>
      <c r="Y166" s="165"/>
      <c r="Z166" s="165"/>
      <c r="AA166" s="165"/>
      <c r="AB166" s="165"/>
      <c r="AC166" s="165"/>
      <c r="AD166" s="165"/>
      <c r="AE166" s="165"/>
      <c r="AF166" s="165"/>
      <c r="AG166" s="165"/>
      <c r="AH166" s="165"/>
      <c r="AI166" s="165"/>
      <c r="AJ166" s="165"/>
      <c r="AK166" s="165"/>
      <c r="AL166" s="165"/>
      <c r="AM166" s="165"/>
      <c r="AN166" s="165"/>
      <c r="AO166" s="165"/>
      <c r="AP166" s="165"/>
      <c r="AQ166" s="165"/>
      <c r="AS166" s="165"/>
      <c r="AT166" s="165"/>
      <c r="AU166" s="165"/>
      <c r="AV166" s="165"/>
      <c r="AW166" s="165"/>
      <c r="AX166" s="165"/>
      <c r="AY166" s="165"/>
      <c r="AZ166" s="165"/>
      <c r="BA166" s="165"/>
      <c r="BB166" s="165"/>
      <c r="BC166" s="165"/>
      <c r="BD166" s="168"/>
      <c r="BE166" s="168"/>
      <c r="BF166" s="168"/>
      <c r="BG166" s="168"/>
      <c r="BH166" s="165"/>
      <c r="BI166" s="165"/>
      <c r="BJ166" s="165"/>
      <c r="BK166" s="165"/>
      <c r="BL166" s="168"/>
      <c r="BM166" s="165"/>
      <c r="BN166" s="165"/>
      <c r="BO166" s="165"/>
    </row>
    <row r="167" spans="1:67" ht="15" x14ac:dyDescent="0.2">
      <c r="B167" s="216" t="s">
        <v>747</v>
      </c>
      <c r="C167" s="105" t="s">
        <v>687</v>
      </c>
      <c r="D167" s="165"/>
      <c r="E167" s="165"/>
      <c r="F167" s="165"/>
      <c r="G167" s="165"/>
      <c r="H167" s="165"/>
      <c r="I167" s="165"/>
      <c r="J167" s="165">
        <v>77312</v>
      </c>
      <c r="K167" s="165">
        <v>316532</v>
      </c>
      <c r="L167" s="165">
        <v>386379</v>
      </c>
      <c r="M167" s="165">
        <v>386379</v>
      </c>
      <c r="N167" s="165">
        <v>76737</v>
      </c>
      <c r="O167" s="165">
        <v>70371</v>
      </c>
      <c r="P167" s="165">
        <v>79069</v>
      </c>
      <c r="Q167" s="165">
        <v>270485</v>
      </c>
      <c r="R167" s="165">
        <v>270485</v>
      </c>
      <c r="S167" s="165">
        <v>201491</v>
      </c>
      <c r="T167" s="165">
        <v>370396</v>
      </c>
      <c r="U167" s="165">
        <v>441720</v>
      </c>
      <c r="V167" s="165">
        <v>518</v>
      </c>
      <c r="W167" s="165">
        <v>518</v>
      </c>
      <c r="X167" s="165">
        <v>143825</v>
      </c>
      <c r="Y167" s="165">
        <v>200455</v>
      </c>
      <c r="Z167" s="165">
        <v>273390</v>
      </c>
      <c r="AA167" s="165">
        <v>519460</v>
      </c>
      <c r="AB167" s="165">
        <v>519460</v>
      </c>
      <c r="AC167" s="165">
        <v>755473</v>
      </c>
      <c r="AD167" s="165">
        <v>1507952</v>
      </c>
      <c r="AE167" s="165">
        <v>2291190</v>
      </c>
      <c r="AF167" s="165">
        <v>2969731</v>
      </c>
      <c r="AG167" s="165">
        <f t="shared" si="131"/>
        <v>2969731</v>
      </c>
      <c r="AH167" s="165">
        <v>742456</v>
      </c>
      <c r="AI167" s="165">
        <v>1403463</v>
      </c>
      <c r="AJ167" s="165">
        <v>2265509</v>
      </c>
      <c r="AK167" s="165">
        <v>3248693</v>
      </c>
      <c r="AL167" s="165">
        <f t="shared" si="132"/>
        <v>3248693</v>
      </c>
      <c r="AM167" s="165">
        <v>903496</v>
      </c>
      <c r="AN167" s="165">
        <v>1937709</v>
      </c>
      <c r="AO167" s="165">
        <v>2695736</v>
      </c>
      <c r="AP167" s="165">
        <v>3645608</v>
      </c>
      <c r="AQ167" s="165">
        <f t="shared" si="133"/>
        <v>3645608</v>
      </c>
      <c r="AS167" s="165">
        <v>903496</v>
      </c>
      <c r="AT167" s="165">
        <v>1937709</v>
      </c>
      <c r="AU167" s="165">
        <v>2690336</v>
      </c>
      <c r="AV167" s="165"/>
      <c r="AW167" s="165">
        <v>3645608</v>
      </c>
      <c r="AX167" s="165">
        <v>728847</v>
      </c>
      <c r="AY167" s="165">
        <v>2057987</v>
      </c>
      <c r="AZ167" s="165">
        <v>3066595</v>
      </c>
      <c r="BA167" s="165"/>
      <c r="BB167" s="165">
        <v>4063582</v>
      </c>
      <c r="BC167" s="165">
        <v>856363</v>
      </c>
      <c r="BD167" s="168"/>
      <c r="BE167" s="168">
        <v>1375338</v>
      </c>
      <c r="BF167" s="168"/>
      <c r="BG167" s="168">
        <v>1464012</v>
      </c>
      <c r="BH167" s="201">
        <v>0</v>
      </c>
      <c r="BI167" s="201">
        <v>0</v>
      </c>
      <c r="BJ167" s="165">
        <v>21</v>
      </c>
      <c r="BK167" s="165"/>
      <c r="BL167" s="168">
        <v>35</v>
      </c>
      <c r="BM167" s="165">
        <v>290</v>
      </c>
      <c r="BN167" s="165">
        <v>417</v>
      </c>
      <c r="BO167" s="165">
        <v>417</v>
      </c>
    </row>
    <row r="168" spans="1:67" ht="15" x14ac:dyDescent="0.2">
      <c r="B168" s="216" t="s">
        <v>748</v>
      </c>
      <c r="C168" s="105" t="s">
        <v>687</v>
      </c>
      <c r="D168" s="165"/>
      <c r="E168" s="165"/>
      <c r="F168" s="165"/>
      <c r="G168" s="165"/>
      <c r="H168" s="165"/>
      <c r="I168" s="165"/>
      <c r="J168" s="165">
        <v>42</v>
      </c>
      <c r="K168" s="165" t="s">
        <v>58</v>
      </c>
      <c r="L168" s="165"/>
      <c r="M168" s="165"/>
      <c r="N168" s="165" t="s">
        <v>58</v>
      </c>
      <c r="O168" s="165">
        <v>-129717</v>
      </c>
      <c r="P168" s="165">
        <v>-417479</v>
      </c>
      <c r="Q168" s="165">
        <v>-440801</v>
      </c>
      <c r="R168" s="165">
        <v>-440801</v>
      </c>
      <c r="S168" s="165">
        <v>-299259</v>
      </c>
      <c r="T168" s="165">
        <v>-299259</v>
      </c>
      <c r="U168" s="165">
        <v>-303847</v>
      </c>
      <c r="V168" s="165" t="s">
        <v>58</v>
      </c>
      <c r="W168" s="165" t="s">
        <v>58</v>
      </c>
      <c r="X168" s="165">
        <v>-26241</v>
      </c>
      <c r="Y168" s="165">
        <v>-204439</v>
      </c>
      <c r="Z168" s="165">
        <v>-348301</v>
      </c>
      <c r="AA168" s="165">
        <v>-704115</v>
      </c>
      <c r="AB168" s="165">
        <v>-704115</v>
      </c>
      <c r="AC168" s="165">
        <v>-664564</v>
      </c>
      <c r="AD168" s="165">
        <v>-1355394</v>
      </c>
      <c r="AE168" s="165">
        <v>-2167634</v>
      </c>
      <c r="AF168" s="165">
        <v>-2706733</v>
      </c>
      <c r="AG168" s="165">
        <f t="shared" si="131"/>
        <v>-2706733</v>
      </c>
      <c r="AH168" s="165">
        <v>-719884</v>
      </c>
      <c r="AI168" s="165">
        <v>-1372576</v>
      </c>
      <c r="AJ168" s="165">
        <v>-2198327</v>
      </c>
      <c r="AK168" s="165">
        <v>-3106411</v>
      </c>
      <c r="AL168" s="165">
        <f t="shared" si="132"/>
        <v>-3106411</v>
      </c>
      <c r="AM168" s="165">
        <v>-1083699</v>
      </c>
      <c r="AN168" s="165">
        <v>-1931759</v>
      </c>
      <c r="AO168" s="165">
        <v>-2816134</v>
      </c>
      <c r="AP168" s="165">
        <v>-3548239</v>
      </c>
      <c r="AQ168" s="165">
        <f t="shared" si="133"/>
        <v>-3548239</v>
      </c>
      <c r="AS168" s="165">
        <v>-1083699</v>
      </c>
      <c r="AT168" s="165">
        <v>-1931759</v>
      </c>
      <c r="AU168" s="165">
        <v>-2810734</v>
      </c>
      <c r="AV168" s="165"/>
      <c r="AW168" s="165">
        <v>-3548239</v>
      </c>
      <c r="AX168" s="165">
        <v>-824446</v>
      </c>
      <c r="AY168" s="165">
        <v>-2043453</v>
      </c>
      <c r="AZ168" s="165">
        <v>-3211312</v>
      </c>
      <c r="BA168" s="165"/>
      <c r="BB168" s="165">
        <v>-4131890</v>
      </c>
      <c r="BC168" s="165">
        <v>-682397</v>
      </c>
      <c r="BD168" s="168">
        <v>1195266</v>
      </c>
      <c r="BE168" s="168">
        <v>-1084704</v>
      </c>
      <c r="BF168" s="168"/>
      <c r="BG168" s="168">
        <v>-1140940</v>
      </c>
      <c r="BH168" s="201">
        <v>-82</v>
      </c>
      <c r="BI168" s="201">
        <v>-198</v>
      </c>
      <c r="BJ168" s="165">
        <v>-205</v>
      </c>
      <c r="BK168" s="165"/>
      <c r="BL168" s="168">
        <v>-208</v>
      </c>
      <c r="BM168" s="165">
        <v>-314</v>
      </c>
      <c r="BN168" s="165">
        <v>-331</v>
      </c>
      <c r="BO168" s="165">
        <v>-331</v>
      </c>
    </row>
    <row r="169" spans="1:67" ht="15" x14ac:dyDescent="0.2">
      <c r="B169" s="216" t="s">
        <v>749</v>
      </c>
      <c r="C169" s="105" t="s">
        <v>687</v>
      </c>
      <c r="D169" s="165"/>
      <c r="E169" s="165"/>
      <c r="F169" s="165"/>
      <c r="G169" s="165"/>
      <c r="H169" s="165"/>
      <c r="I169" s="165">
        <v>42</v>
      </c>
      <c r="K169" s="165">
        <v>29175</v>
      </c>
      <c r="L169" s="165">
        <v>73429</v>
      </c>
      <c r="M169" s="165">
        <v>73429</v>
      </c>
      <c r="N169" s="165">
        <v>21754</v>
      </c>
      <c r="O169" s="165">
        <v>154799</v>
      </c>
      <c r="P169" s="165">
        <v>208956</v>
      </c>
      <c r="Q169" s="165">
        <v>225196</v>
      </c>
      <c r="R169" s="165">
        <v>225196</v>
      </c>
      <c r="S169" s="165">
        <v>514218</v>
      </c>
      <c r="T169" s="165">
        <v>510484</v>
      </c>
      <c r="U169" s="165">
        <v>517739</v>
      </c>
      <c r="V169" s="165">
        <v>390038</v>
      </c>
      <c r="W169" s="165">
        <v>524370</v>
      </c>
      <c r="X169" s="165">
        <v>5254</v>
      </c>
      <c r="Y169" s="165">
        <v>22191</v>
      </c>
      <c r="Z169" s="165">
        <v>45016</v>
      </c>
      <c r="AA169" s="165">
        <v>57117.137986405163</v>
      </c>
      <c r="AB169" s="165">
        <v>57117.137986405163</v>
      </c>
      <c r="AC169" s="165">
        <v>12406</v>
      </c>
      <c r="AD169" s="165">
        <v>20451</v>
      </c>
      <c r="AE169" s="165">
        <v>73096</v>
      </c>
      <c r="AF169" s="165">
        <v>76084</v>
      </c>
      <c r="AG169" s="165">
        <f t="shared" si="131"/>
        <v>76084</v>
      </c>
      <c r="AH169" s="165">
        <v>1481</v>
      </c>
      <c r="AI169" s="165">
        <v>19706</v>
      </c>
      <c r="AJ169" s="165">
        <v>21182</v>
      </c>
      <c r="AK169" s="165">
        <v>51316</v>
      </c>
      <c r="AL169" s="165">
        <f t="shared" si="132"/>
        <v>51316</v>
      </c>
      <c r="AM169" s="165">
        <v>107129</v>
      </c>
      <c r="AN169" s="165">
        <v>215904</v>
      </c>
      <c r="AO169" s="165">
        <v>218975</v>
      </c>
      <c r="AP169" s="165">
        <v>223753</v>
      </c>
      <c r="AQ169" s="165">
        <f t="shared" si="133"/>
        <v>223753</v>
      </c>
      <c r="AS169" s="165">
        <v>107129</v>
      </c>
      <c r="AT169" s="165">
        <v>215904</v>
      </c>
      <c r="AU169" s="165">
        <v>218975</v>
      </c>
      <c r="AV169" s="165"/>
      <c r="AW169" s="165">
        <v>223753</v>
      </c>
      <c r="AX169" s="165">
        <v>274</v>
      </c>
      <c r="AY169" s="165">
        <v>28702</v>
      </c>
      <c r="AZ169" s="165">
        <v>47896</v>
      </c>
      <c r="BA169" s="165"/>
      <c r="BB169" s="165">
        <v>50322</v>
      </c>
      <c r="BC169" s="165">
        <v>64941</v>
      </c>
      <c r="BD169" s="168">
        <v>-961050</v>
      </c>
      <c r="BE169" s="168"/>
      <c r="BF169" s="168"/>
      <c r="BG169" s="168">
        <v>75566</v>
      </c>
      <c r="BH169" s="201">
        <v>0</v>
      </c>
      <c r="BI169" s="201">
        <v>0</v>
      </c>
      <c r="BJ169" s="165">
        <v>42000</v>
      </c>
      <c r="BK169" s="165"/>
      <c r="BL169" s="168">
        <v>105000</v>
      </c>
      <c r="BM169" s="165">
        <v>0</v>
      </c>
      <c r="BN169" s="165">
        <v>18825</v>
      </c>
      <c r="BO169" s="165">
        <v>18825</v>
      </c>
    </row>
    <row r="170" spans="1:67" x14ac:dyDescent="0.2">
      <c r="B170" s="212" t="s">
        <v>750</v>
      </c>
      <c r="C170" s="105" t="s">
        <v>687</v>
      </c>
      <c r="D170" s="165"/>
      <c r="E170" s="165"/>
      <c r="F170" s="165"/>
      <c r="G170" s="165"/>
      <c r="H170" s="165"/>
      <c r="I170" s="165">
        <v>-265274</v>
      </c>
      <c r="J170" s="165">
        <v>-450607</v>
      </c>
      <c r="K170" s="165">
        <v>-1417918</v>
      </c>
      <c r="L170" s="165">
        <v>-2389364</v>
      </c>
      <c r="M170" s="165">
        <v>-2389364</v>
      </c>
      <c r="N170" s="165">
        <v>-373828</v>
      </c>
      <c r="O170" s="165">
        <v>-907467</v>
      </c>
      <c r="P170" s="165">
        <v>-1219718</v>
      </c>
      <c r="Q170" s="165">
        <v>-1381786</v>
      </c>
      <c r="R170" s="165">
        <v>-1381786</v>
      </c>
      <c r="S170" s="165">
        <v>-194926</v>
      </c>
      <c r="T170" s="165">
        <v>-531856</v>
      </c>
      <c r="U170" s="165">
        <v>-888930</v>
      </c>
      <c r="V170" s="165">
        <v>-340324</v>
      </c>
      <c r="W170" s="165">
        <v>-474656</v>
      </c>
      <c r="X170" s="165">
        <v>-297008</v>
      </c>
      <c r="Y170" s="165">
        <v>-490229</v>
      </c>
      <c r="Z170" s="165">
        <v>-886475</v>
      </c>
      <c r="AA170" s="165">
        <v>-1569749.3955385466</v>
      </c>
      <c r="AB170" s="165">
        <v>-1569749.3955385466</v>
      </c>
      <c r="AC170" s="165">
        <v>-290082</v>
      </c>
      <c r="AD170" s="165">
        <v>-409770</v>
      </c>
      <c r="AE170" s="165">
        <v>-522454</v>
      </c>
      <c r="AF170" s="165">
        <v>-694370</v>
      </c>
      <c r="AG170" s="165">
        <f t="shared" si="131"/>
        <v>-694370</v>
      </c>
      <c r="AH170" s="165">
        <v>-67137</v>
      </c>
      <c r="AI170" s="165">
        <v>-189483</v>
      </c>
      <c r="AJ170" s="165">
        <v>-246923</v>
      </c>
      <c r="AK170" s="165">
        <v>-403666</v>
      </c>
      <c r="AL170" s="165">
        <f t="shared" si="132"/>
        <v>-403666</v>
      </c>
      <c r="AM170" s="165">
        <v>-178566</v>
      </c>
      <c r="AN170" s="165">
        <v>-277352</v>
      </c>
      <c r="AO170" s="165">
        <v>-502259</v>
      </c>
      <c r="AP170" s="165">
        <v>-660707</v>
      </c>
      <c r="AQ170" s="165">
        <f t="shared" si="133"/>
        <v>-660707</v>
      </c>
      <c r="AS170" s="165">
        <v>-178566</v>
      </c>
      <c r="AT170" s="165">
        <v>-277352</v>
      </c>
      <c r="AU170" s="165">
        <v>-502259</v>
      </c>
      <c r="AV170" s="165"/>
      <c r="AW170" s="165">
        <v>-660707</v>
      </c>
      <c r="AX170" s="165">
        <v>-181826</v>
      </c>
      <c r="AY170" s="165">
        <v>-406557</v>
      </c>
      <c r="AZ170" s="165">
        <v>-588170</v>
      </c>
      <c r="BA170" s="165"/>
      <c r="BB170" s="165">
        <v>-1276621</v>
      </c>
      <c r="BC170" s="165">
        <v>-134730</v>
      </c>
      <c r="BD170" s="168">
        <v>64941</v>
      </c>
      <c r="BE170" s="168">
        <v>75566</v>
      </c>
      <c r="BF170" s="168"/>
      <c r="BG170" s="168">
        <v>-324264</v>
      </c>
      <c r="BH170" s="201">
        <v>-25296</v>
      </c>
      <c r="BI170" s="201">
        <v>-83708</v>
      </c>
      <c r="BJ170" s="165">
        <v>-356050</v>
      </c>
      <c r="BK170" s="165"/>
      <c r="BL170" s="168">
        <v>-587245</v>
      </c>
      <c r="BM170" s="165">
        <v>-88890</v>
      </c>
      <c r="BN170" s="165">
        <v>-212550</v>
      </c>
      <c r="BO170" s="165">
        <v>-462127</v>
      </c>
    </row>
    <row r="171" spans="1:67" x14ac:dyDescent="0.2">
      <c r="B171" s="212" t="s">
        <v>751</v>
      </c>
      <c r="C171" s="105" t="s">
        <v>687</v>
      </c>
      <c r="S171" s="165">
        <v>13</v>
      </c>
      <c r="T171" s="165"/>
      <c r="U171" s="165"/>
      <c r="V171" s="165">
        <v>564266</v>
      </c>
      <c r="W171" s="165">
        <v>564266</v>
      </c>
      <c r="X171" s="165">
        <v>17</v>
      </c>
      <c r="Y171" s="165">
        <v>17</v>
      </c>
      <c r="Z171" s="165">
        <v>104</v>
      </c>
      <c r="AA171" s="165">
        <v>91</v>
      </c>
      <c r="AB171" s="165">
        <v>91</v>
      </c>
      <c r="AC171" s="165">
        <v>0</v>
      </c>
      <c r="AD171" s="165">
        <v>4</v>
      </c>
      <c r="AE171" s="165">
        <v>4</v>
      </c>
      <c r="AF171" s="165">
        <v>1</v>
      </c>
      <c r="AG171" s="165">
        <f t="shared" si="131"/>
        <v>1</v>
      </c>
      <c r="AH171" s="165">
        <v>0</v>
      </c>
      <c r="AI171" s="165">
        <v>0</v>
      </c>
      <c r="AJ171" s="165">
        <v>0</v>
      </c>
      <c r="AK171" s="165"/>
      <c r="AL171" s="165">
        <f t="shared" si="132"/>
        <v>0</v>
      </c>
      <c r="AM171" s="165"/>
      <c r="AN171" s="165"/>
      <c r="AO171" s="165"/>
      <c r="AP171" s="165"/>
      <c r="AQ171" s="165"/>
      <c r="AS171" s="165"/>
      <c r="AT171" s="165"/>
      <c r="AU171" s="165"/>
      <c r="AV171" s="165"/>
      <c r="AW171" s="165">
        <v>0</v>
      </c>
      <c r="AX171" s="165"/>
      <c r="AY171" s="165"/>
      <c r="AZ171" s="165"/>
      <c r="BA171" s="165"/>
      <c r="BB171" s="165"/>
      <c r="BC171" s="165"/>
      <c r="BD171" s="168"/>
      <c r="BE171" s="168"/>
      <c r="BF171" s="168"/>
      <c r="BG171" s="168"/>
      <c r="BH171" s="201"/>
      <c r="BI171" s="201"/>
      <c r="BJ171" s="165"/>
      <c r="BK171" s="165"/>
      <c r="BL171" s="168"/>
      <c r="BM171" s="165"/>
      <c r="BN171" s="165"/>
      <c r="BO171" s="165"/>
    </row>
    <row r="172" spans="1:67" x14ac:dyDescent="0.2">
      <c r="B172" s="212" t="s">
        <v>752</v>
      </c>
      <c r="C172" s="105" t="s">
        <v>687</v>
      </c>
      <c r="D172" s="165"/>
      <c r="E172" s="165"/>
      <c r="F172" s="165"/>
      <c r="G172" s="165"/>
      <c r="H172" s="165"/>
      <c r="I172" s="165">
        <v>-8739</v>
      </c>
      <c r="J172" s="165">
        <v>-19832</v>
      </c>
      <c r="K172" s="165">
        <v>-38307</v>
      </c>
      <c r="L172" s="165">
        <v>-59166</v>
      </c>
      <c r="M172" s="165">
        <v>-59166</v>
      </c>
      <c r="N172" s="165">
        <v>-9204</v>
      </c>
      <c r="O172" s="165">
        <v>-13408</v>
      </c>
      <c r="P172" s="165">
        <v>-21081</v>
      </c>
      <c r="Q172" s="165">
        <v>-43484</v>
      </c>
      <c r="R172" s="165">
        <v>-43484</v>
      </c>
      <c r="S172" s="165">
        <v>-13104</v>
      </c>
      <c r="T172" s="165">
        <v>-23784</v>
      </c>
      <c r="U172" s="165">
        <v>-36267</v>
      </c>
      <c r="V172" s="165">
        <v>-1440445</v>
      </c>
      <c r="W172" s="165">
        <v>-1440445</v>
      </c>
      <c r="X172" s="165">
        <v>-2402</v>
      </c>
      <c r="Y172" s="165">
        <v>-10487</v>
      </c>
      <c r="Z172" s="165">
        <v>-13357</v>
      </c>
      <c r="AA172" s="165">
        <v>-52449</v>
      </c>
      <c r="AB172" s="165">
        <v>-52449</v>
      </c>
      <c r="AC172" s="165">
        <v>-13180</v>
      </c>
      <c r="AD172" s="165">
        <v>-27835</v>
      </c>
      <c r="AE172" s="165">
        <v>-61454</v>
      </c>
      <c r="AF172" s="165">
        <v>-88587</v>
      </c>
      <c r="AG172" s="165">
        <f t="shared" si="131"/>
        <v>-88587</v>
      </c>
      <c r="AH172" s="165">
        <v>-18537</v>
      </c>
      <c r="AI172" s="165">
        <v>-38004</v>
      </c>
      <c r="AJ172" s="165">
        <v>-57413</v>
      </c>
      <c r="AK172" s="165">
        <v>-87318</v>
      </c>
      <c r="AL172" s="165">
        <f t="shared" si="132"/>
        <v>-87318</v>
      </c>
      <c r="AM172" s="165">
        <v>-19911</v>
      </c>
      <c r="AN172" s="165">
        <v>-44830</v>
      </c>
      <c r="AO172" s="165">
        <v>-71215</v>
      </c>
      <c r="AP172" s="165">
        <v>-96206</v>
      </c>
      <c r="AQ172" s="165">
        <f t="shared" si="133"/>
        <v>-96206</v>
      </c>
      <c r="AS172" s="165">
        <v>-19911</v>
      </c>
      <c r="AT172" s="165">
        <v>-44830</v>
      </c>
      <c r="AU172" s="165">
        <v>-71215</v>
      </c>
      <c r="AV172" s="165"/>
      <c r="AW172" s="165">
        <v>-96206</v>
      </c>
      <c r="AX172" s="165">
        <v>-18504</v>
      </c>
      <c r="AY172" s="165">
        <v>-41084</v>
      </c>
      <c r="AZ172" s="165">
        <v>-62842</v>
      </c>
      <c r="BA172" s="165"/>
      <c r="BB172" s="165">
        <v>-140173</v>
      </c>
      <c r="BC172" s="165">
        <v>-13956</v>
      </c>
      <c r="BD172" s="168">
        <v>-209515</v>
      </c>
      <c r="BE172" s="168">
        <v>-264354</v>
      </c>
      <c r="BF172" s="168"/>
      <c r="BG172" s="168">
        <v>-75433</v>
      </c>
      <c r="BH172" s="201">
        <v>-9044</v>
      </c>
      <c r="BI172" s="201">
        <v>-24940</v>
      </c>
      <c r="BJ172" s="165">
        <v>-64797</v>
      </c>
      <c r="BK172" s="165"/>
      <c r="BL172" s="168">
        <v>-88518</v>
      </c>
      <c r="BM172" s="165">
        <v>-8505</v>
      </c>
      <c r="BN172" s="165">
        <v>-26680</v>
      </c>
      <c r="BO172" s="165">
        <v>-34565</v>
      </c>
    </row>
    <row r="173" spans="1:67" x14ac:dyDescent="0.2">
      <c r="B173" s="212" t="s">
        <v>753</v>
      </c>
      <c r="C173" s="105"/>
      <c r="D173" s="165"/>
      <c r="E173" s="165"/>
      <c r="F173" s="165"/>
      <c r="G173" s="165"/>
      <c r="H173" s="165"/>
      <c r="I173" s="165"/>
      <c r="J173" s="165"/>
      <c r="K173" s="165"/>
      <c r="L173" s="165"/>
      <c r="M173" s="165"/>
      <c r="N173" s="165"/>
      <c r="O173" s="165"/>
      <c r="P173" s="165"/>
      <c r="Q173" s="165"/>
      <c r="R173" s="165"/>
      <c r="S173" s="165"/>
      <c r="T173" s="165"/>
      <c r="U173" s="165"/>
      <c r="V173" s="165"/>
      <c r="W173" s="165"/>
      <c r="X173" s="165"/>
      <c r="Y173" s="165"/>
      <c r="Z173" s="165"/>
      <c r="AA173" s="165"/>
      <c r="AB173" s="165"/>
      <c r="AC173" s="165"/>
      <c r="AD173" s="165"/>
      <c r="AE173" s="165"/>
      <c r="AF173" s="165"/>
      <c r="AG173" s="165"/>
      <c r="AH173" s="165"/>
      <c r="AI173" s="165"/>
      <c r="AJ173" s="165"/>
      <c r="AK173" s="165"/>
      <c r="AL173" s="165"/>
      <c r="AM173" s="165"/>
      <c r="AN173" s="165"/>
      <c r="AO173" s="165"/>
      <c r="AP173" s="165"/>
      <c r="AQ173" s="165"/>
      <c r="AS173" s="165"/>
      <c r="AT173" s="165">
        <v>0</v>
      </c>
      <c r="AU173" s="165">
        <v>0</v>
      </c>
      <c r="AV173" s="165"/>
      <c r="AW173" s="165"/>
      <c r="AX173" s="165"/>
      <c r="AY173" s="165">
        <v>-37000</v>
      </c>
      <c r="AZ173" s="165">
        <v>-47936</v>
      </c>
      <c r="BA173" s="165"/>
      <c r="BB173" s="165"/>
      <c r="BC173" s="165"/>
      <c r="BD173" s="168">
        <v>-39064</v>
      </c>
      <c r="BE173" s="168">
        <v>-48308</v>
      </c>
      <c r="BF173" s="168"/>
      <c r="BG173" s="168"/>
      <c r="BH173" s="201"/>
      <c r="BI173" s="201"/>
      <c r="BJ173" s="165"/>
      <c r="BK173" s="165"/>
      <c r="BL173" s="168"/>
      <c r="BM173" s="165"/>
      <c r="BN173" s="165"/>
      <c r="BO173" s="165"/>
    </row>
    <row r="174" spans="1:67" x14ac:dyDescent="0.2">
      <c r="B174" s="212" t="s">
        <v>754</v>
      </c>
      <c r="C174" s="105" t="s">
        <v>687</v>
      </c>
      <c r="D174" s="165"/>
      <c r="E174" s="165"/>
      <c r="F174" s="165"/>
      <c r="G174" s="165"/>
      <c r="H174" s="165"/>
      <c r="I174" s="165"/>
      <c r="K174" s="165">
        <v>14158</v>
      </c>
      <c r="L174" s="165">
        <v>38035</v>
      </c>
      <c r="M174" s="165">
        <v>38035</v>
      </c>
      <c r="N174" s="165">
        <v>14386</v>
      </c>
      <c r="O174" s="165">
        <v>14386</v>
      </c>
      <c r="P174" s="165">
        <v>14529</v>
      </c>
      <c r="Q174" s="165">
        <v>22144</v>
      </c>
      <c r="R174" s="165">
        <v>22144</v>
      </c>
      <c r="S174" s="165" t="s">
        <v>58</v>
      </c>
      <c r="T174" s="165" t="s">
        <v>58</v>
      </c>
      <c r="U174" s="165" t="s">
        <v>58</v>
      </c>
      <c r="V174" s="165">
        <v>-55759</v>
      </c>
      <c r="W174" s="165">
        <v>-55759</v>
      </c>
      <c r="X174" s="165"/>
      <c r="Y174" s="165"/>
      <c r="Z174" s="165"/>
      <c r="AA174" s="165"/>
      <c r="AB174" s="165"/>
      <c r="AC174" s="165"/>
      <c r="AD174" s="165"/>
      <c r="AE174" s="165"/>
      <c r="AF174" s="165"/>
      <c r="AG174" s="165"/>
      <c r="AH174" s="165"/>
      <c r="AI174" s="165"/>
      <c r="AK174" s="165"/>
      <c r="AL174" s="165"/>
      <c r="AM174" s="165"/>
      <c r="AN174" s="165"/>
      <c r="AO174" s="165"/>
      <c r="AP174" s="165"/>
      <c r="AQ174" s="165"/>
      <c r="AS174" s="165"/>
      <c r="AT174" s="165"/>
      <c r="AU174" s="165"/>
      <c r="AV174" s="165"/>
      <c r="AW174" s="165"/>
      <c r="AX174" s="165"/>
      <c r="AY174" s="165"/>
      <c r="AZ174" s="165"/>
      <c r="BA174" s="165"/>
      <c r="BB174" s="165"/>
      <c r="BC174" s="165"/>
      <c r="BD174" s="168"/>
      <c r="BE174" s="168"/>
      <c r="BF174" s="168"/>
      <c r="BG174" s="168"/>
      <c r="BH174" s="201"/>
      <c r="BI174" s="201"/>
      <c r="BJ174" s="165"/>
      <c r="BK174" s="165"/>
      <c r="BL174" s="168"/>
      <c r="BM174" s="165"/>
      <c r="BN174" s="165"/>
      <c r="BO174" s="165"/>
    </row>
    <row r="175" spans="1:67" x14ac:dyDescent="0.2">
      <c r="B175" s="212" t="s">
        <v>755</v>
      </c>
      <c r="C175" s="105" t="s">
        <v>687</v>
      </c>
      <c r="D175" s="165"/>
      <c r="E175" s="165"/>
      <c r="F175" s="165"/>
      <c r="G175" s="165"/>
      <c r="H175" s="165"/>
      <c r="I175" s="165">
        <v>2764</v>
      </c>
      <c r="J175" s="165">
        <v>6729</v>
      </c>
      <c r="K175" s="165">
        <v>25913</v>
      </c>
      <c r="L175" s="165">
        <v>52986</v>
      </c>
      <c r="M175" s="165">
        <v>52986</v>
      </c>
      <c r="N175" s="165">
        <v>4112</v>
      </c>
      <c r="O175" s="165">
        <v>4939</v>
      </c>
      <c r="P175" s="165">
        <v>7855</v>
      </c>
      <c r="Q175" s="165">
        <v>11310</v>
      </c>
      <c r="R175" s="165">
        <v>11310</v>
      </c>
      <c r="S175" s="165">
        <v>5094</v>
      </c>
      <c r="T175" s="165">
        <v>6049</v>
      </c>
      <c r="U175" s="165">
        <v>8236</v>
      </c>
      <c r="V175" s="165">
        <v>11589</v>
      </c>
      <c r="W175" s="165">
        <v>11589</v>
      </c>
      <c r="X175" s="165">
        <v>5975</v>
      </c>
      <c r="Y175" s="165">
        <v>13544</v>
      </c>
      <c r="Z175" s="165">
        <v>34465</v>
      </c>
      <c r="AA175" s="165">
        <v>43374</v>
      </c>
      <c r="AB175" s="165">
        <v>43374</v>
      </c>
      <c r="AC175" s="165">
        <v>9420</v>
      </c>
      <c r="AD175" s="165">
        <v>5508</v>
      </c>
      <c r="AE175" s="165">
        <v>8228</v>
      </c>
      <c r="AF175" s="165">
        <v>11242</v>
      </c>
      <c r="AG175" s="165">
        <f>AF175</f>
        <v>11242</v>
      </c>
      <c r="AH175" s="165">
        <v>5676</v>
      </c>
      <c r="AI175" s="165">
        <v>10338</v>
      </c>
      <c r="AJ175" s="165">
        <v>9592</v>
      </c>
      <c r="AK175" s="165">
        <v>12684</v>
      </c>
      <c r="AL175" s="165">
        <f>AK175</f>
        <v>12684</v>
      </c>
      <c r="AM175" s="165">
        <v>3790</v>
      </c>
      <c r="AN175" s="165">
        <v>5836</v>
      </c>
      <c r="AO175" s="165">
        <v>7360</v>
      </c>
      <c r="AP175" s="165">
        <v>10175</v>
      </c>
      <c r="AQ175" s="165">
        <f>AP175</f>
        <v>10175</v>
      </c>
      <c r="AS175" s="165">
        <v>3790</v>
      </c>
      <c r="AT175" s="165">
        <v>5836</v>
      </c>
      <c r="AU175" s="165">
        <v>7360</v>
      </c>
      <c r="AV175" s="165"/>
      <c r="AW175" s="165">
        <v>10175</v>
      </c>
      <c r="AX175" s="165">
        <v>7730</v>
      </c>
      <c r="AY175" s="165">
        <v>10316</v>
      </c>
      <c r="AZ175" s="165">
        <v>14043</v>
      </c>
      <c r="BA175" s="165"/>
      <c r="BB175" s="165">
        <v>17822</v>
      </c>
      <c r="BC175" s="165">
        <v>3251</v>
      </c>
      <c r="BD175" s="168">
        <v>6132</v>
      </c>
      <c r="BE175" s="168">
        <v>34344</v>
      </c>
      <c r="BF175" s="168"/>
      <c r="BG175" s="168">
        <v>36859</v>
      </c>
      <c r="BH175" s="201">
        <v>5378</v>
      </c>
      <c r="BI175" s="201">
        <v>6471</v>
      </c>
      <c r="BJ175" s="165">
        <v>7807</v>
      </c>
      <c r="BK175" s="165"/>
      <c r="BL175" s="168">
        <v>9056</v>
      </c>
      <c r="BM175" s="165">
        <v>173</v>
      </c>
      <c r="BN175" s="165">
        <v>351</v>
      </c>
      <c r="BO175" s="165">
        <v>10080</v>
      </c>
    </row>
    <row r="176" spans="1:67" x14ac:dyDescent="0.2">
      <c r="B176" s="212" t="s">
        <v>756</v>
      </c>
      <c r="C176" s="105" t="s">
        <v>687</v>
      </c>
      <c r="D176" s="165"/>
      <c r="E176" s="165"/>
      <c r="F176" s="165"/>
      <c r="G176" s="165"/>
      <c r="H176" s="165"/>
      <c r="I176" s="165"/>
      <c r="K176" s="165"/>
      <c r="L176" s="165">
        <v>351</v>
      </c>
      <c r="M176" s="165">
        <v>351</v>
      </c>
      <c r="N176" s="165"/>
      <c r="O176" s="165"/>
      <c r="P176" s="165"/>
      <c r="Q176" s="165" t="s">
        <v>58</v>
      </c>
      <c r="R176" s="165" t="s">
        <v>58</v>
      </c>
      <c r="S176" s="165"/>
      <c r="T176" s="165"/>
      <c r="U176" s="165"/>
      <c r="V176" s="165" t="s">
        <v>58</v>
      </c>
      <c r="W176" s="165" t="s">
        <v>58</v>
      </c>
      <c r="X176" s="165"/>
      <c r="Y176" s="165"/>
      <c r="Z176" s="165"/>
      <c r="AA176" s="165"/>
      <c r="AB176" s="165"/>
      <c r="AC176" s="165"/>
      <c r="AD176" s="165"/>
      <c r="AE176" s="165"/>
      <c r="AF176" s="165"/>
      <c r="AG176" s="165"/>
      <c r="AH176" s="165"/>
      <c r="AI176" s="165"/>
      <c r="AJ176" s="165"/>
      <c r="AK176" s="165"/>
      <c r="AL176" s="165"/>
      <c r="AM176" s="165"/>
      <c r="AN176" s="165"/>
      <c r="AO176" s="165"/>
      <c r="AP176" s="165"/>
      <c r="AQ176" s="165"/>
      <c r="AS176" s="165"/>
      <c r="AT176" s="165"/>
      <c r="AU176" s="165"/>
      <c r="AV176" s="165"/>
      <c r="AW176" s="165"/>
      <c r="AX176" s="165"/>
      <c r="AY176" s="165"/>
      <c r="AZ176" s="165"/>
      <c r="BA176" s="165"/>
      <c r="BB176" s="165"/>
      <c r="BC176" s="165"/>
      <c r="BD176" s="168"/>
      <c r="BE176" s="168"/>
      <c r="BF176" s="168"/>
      <c r="BG176" s="168"/>
      <c r="BH176" s="201"/>
      <c r="BI176" s="201"/>
      <c r="BJ176" s="165"/>
      <c r="BK176" s="165"/>
      <c r="BL176" s="168"/>
      <c r="BM176" s="165"/>
      <c r="BN176" s="165"/>
      <c r="BO176" s="165"/>
    </row>
    <row r="177" spans="1:67" x14ac:dyDescent="0.2">
      <c r="B177" s="212" t="s">
        <v>739</v>
      </c>
      <c r="C177" s="105" t="s">
        <v>687</v>
      </c>
      <c r="D177" s="165"/>
      <c r="E177" s="165"/>
      <c r="F177" s="165"/>
      <c r="G177" s="165"/>
      <c r="H177" s="165"/>
      <c r="I177" s="165">
        <v>596</v>
      </c>
      <c r="J177" s="165">
        <v>269464</v>
      </c>
      <c r="K177" s="165">
        <v>102226</v>
      </c>
      <c r="L177" s="165">
        <v>27143</v>
      </c>
      <c r="M177" s="165">
        <v>27143</v>
      </c>
      <c r="N177" s="165">
        <v>78171</v>
      </c>
      <c r="O177" s="165">
        <v>77334</v>
      </c>
      <c r="P177" s="165">
        <v>77338</v>
      </c>
      <c r="Q177" s="165">
        <v>75448</v>
      </c>
      <c r="R177" s="165">
        <v>75448</v>
      </c>
      <c r="S177" s="165">
        <v>-25217</v>
      </c>
      <c r="T177" s="165">
        <v>-12853</v>
      </c>
      <c r="U177" s="165">
        <v>-15723</v>
      </c>
      <c r="V177" s="165">
        <v>-17399</v>
      </c>
      <c r="W177" s="165">
        <v>-17399</v>
      </c>
      <c r="X177" s="165">
        <v>3800</v>
      </c>
      <c r="Y177" s="165">
        <v>23671</v>
      </c>
      <c r="Z177" s="165">
        <v>15301</v>
      </c>
      <c r="AA177" s="165">
        <v>10576.157122302588</v>
      </c>
      <c r="AB177" s="165">
        <v>10576.157122302588</v>
      </c>
      <c r="AC177" s="165">
        <v>-3423</v>
      </c>
      <c r="AD177" s="165">
        <v>-2056</v>
      </c>
      <c r="AE177" s="165">
        <v>-3308</v>
      </c>
      <c r="AF177" s="165">
        <v>843</v>
      </c>
      <c r="AG177" s="165">
        <f t="shared" si="131"/>
        <v>843</v>
      </c>
      <c r="AH177" s="165">
        <v>-1697</v>
      </c>
      <c r="AI177" s="165">
        <v>-1583</v>
      </c>
      <c r="AJ177" s="165">
        <v>-3848</v>
      </c>
      <c r="AK177" s="165">
        <v>-9223</v>
      </c>
      <c r="AL177" s="165">
        <f t="shared" si="132"/>
        <v>-9223</v>
      </c>
      <c r="AM177" s="165">
        <v>11731</v>
      </c>
      <c r="AN177" s="165">
        <v>5757</v>
      </c>
      <c r="AO177" s="165">
        <v>416</v>
      </c>
      <c r="AP177" s="165">
        <v>-2476</v>
      </c>
      <c r="AQ177" s="165">
        <f t="shared" si="133"/>
        <v>-2476</v>
      </c>
      <c r="AS177" s="165">
        <v>11731</v>
      </c>
      <c r="AT177" s="165">
        <v>5757</v>
      </c>
      <c r="AU177" s="165">
        <v>416</v>
      </c>
      <c r="AV177" s="165"/>
      <c r="AW177" s="165">
        <v>-2476</v>
      </c>
      <c r="AX177" s="165">
        <v>-597</v>
      </c>
      <c r="AY177" s="165">
        <v>-1251</v>
      </c>
      <c r="AZ177" s="165">
        <v>-1921</v>
      </c>
      <c r="BA177" s="165"/>
      <c r="BB177" s="165">
        <v>-2249</v>
      </c>
      <c r="BC177" s="165">
        <v>-1275</v>
      </c>
      <c r="BD177" s="168">
        <v>-1986</v>
      </c>
      <c r="BE177" s="168">
        <v>-2192</v>
      </c>
      <c r="BF177" s="168"/>
      <c r="BG177" s="168">
        <v>-2192</v>
      </c>
      <c r="BH177" s="201">
        <v>-83</v>
      </c>
      <c r="BI177" s="201">
        <v>-425</v>
      </c>
      <c r="BJ177" s="165">
        <v>18475</v>
      </c>
      <c r="BK177" s="165"/>
      <c r="BL177" s="168">
        <v>18475</v>
      </c>
      <c r="BM177" s="165">
        <v>0</v>
      </c>
      <c r="BN177" s="165">
        <v>6300</v>
      </c>
      <c r="BO177" s="165">
        <v>6300</v>
      </c>
    </row>
    <row r="178" spans="1:67" x14ac:dyDescent="0.2">
      <c r="B178" s="219"/>
      <c r="D178" s="165"/>
      <c r="E178" s="165"/>
      <c r="F178" s="165"/>
      <c r="G178" s="165"/>
      <c r="H178" s="165"/>
      <c r="I178" s="165"/>
      <c r="J178" s="165"/>
      <c r="K178" s="165"/>
      <c r="L178" s="165"/>
      <c r="M178" s="165"/>
      <c r="N178" s="165"/>
      <c r="O178" s="165"/>
      <c r="P178" s="165"/>
      <c r="Q178" s="165"/>
      <c r="R178" s="165"/>
      <c r="S178" s="165"/>
      <c r="T178" s="165"/>
      <c r="U178" s="165"/>
      <c r="V178" s="165"/>
      <c r="W178" s="165"/>
      <c r="X178" s="165"/>
      <c r="Y178" s="165"/>
      <c r="Z178" s="165"/>
      <c r="AA178" s="165"/>
      <c r="AB178" s="165"/>
      <c r="AC178" s="165"/>
      <c r="AD178" s="165"/>
      <c r="AE178" s="165"/>
      <c r="AF178" s="165"/>
      <c r="AG178" s="165"/>
      <c r="AH178" s="165"/>
      <c r="AI178" s="165"/>
      <c r="AJ178" s="165"/>
      <c r="AK178" s="165"/>
      <c r="AL178" s="165"/>
      <c r="AM178" s="165"/>
      <c r="AN178" s="165"/>
      <c r="AO178" s="165"/>
      <c r="AP178" s="165"/>
      <c r="AQ178" s="165"/>
      <c r="AS178" s="165"/>
      <c r="AT178" s="165"/>
      <c r="AU178" s="165"/>
      <c r="AV178" s="165"/>
      <c r="AW178" s="165"/>
      <c r="AX178" s="165"/>
      <c r="AY178" s="165"/>
      <c r="AZ178" s="165"/>
      <c r="BA178" s="165"/>
      <c r="BB178" s="165"/>
      <c r="BC178" s="165"/>
      <c r="BD178" s="168"/>
      <c r="BE178" s="168"/>
      <c r="BF178" s="168"/>
      <c r="BG178" s="168"/>
      <c r="BH178" s="165"/>
      <c r="BI178" s="165"/>
      <c r="BJ178" s="165"/>
      <c r="BK178" s="165"/>
      <c r="BL178" s="168"/>
      <c r="BM178" s="165"/>
      <c r="BN178" s="165"/>
      <c r="BO178" s="165"/>
    </row>
    <row r="179" spans="1:67" s="126" customFormat="1" x14ac:dyDescent="0.2">
      <c r="B179" s="126" t="s">
        <v>757</v>
      </c>
      <c r="C179" s="220"/>
      <c r="D179" s="210"/>
      <c r="E179" s="210"/>
      <c r="F179" s="210"/>
      <c r="G179" s="210"/>
      <c r="H179" s="210"/>
      <c r="I179" s="210">
        <v>-273375</v>
      </c>
      <c r="J179" s="210">
        <v>-123621</v>
      </c>
      <c r="K179" s="210">
        <v>-997370</v>
      </c>
      <c r="L179" s="210">
        <v>-1926416</v>
      </c>
      <c r="M179" s="210">
        <f t="shared" ref="M179:AP179" si="140">SUM(M162:M177)</f>
        <v>-1873430</v>
      </c>
      <c r="N179" s="210">
        <f t="shared" si="140"/>
        <v>-187872</v>
      </c>
      <c r="O179" s="210">
        <f t="shared" si="140"/>
        <v>-728763</v>
      </c>
      <c r="P179" s="210">
        <f t="shared" si="140"/>
        <v>-1276041</v>
      </c>
      <c r="Q179" s="210">
        <f t="shared" si="140"/>
        <v>-1267502</v>
      </c>
      <c r="R179" s="210">
        <f t="shared" si="140"/>
        <v>-1267502</v>
      </c>
      <c r="S179" s="210">
        <f t="shared" si="140"/>
        <v>188312</v>
      </c>
      <c r="T179" s="210">
        <f t="shared" si="140"/>
        <v>19177</v>
      </c>
      <c r="U179" s="210">
        <f t="shared" si="140"/>
        <v>-277072</v>
      </c>
      <c r="V179" s="210">
        <f t="shared" si="140"/>
        <v>-887516</v>
      </c>
      <c r="W179" s="210">
        <f t="shared" si="140"/>
        <v>-887516</v>
      </c>
      <c r="X179" s="210">
        <f t="shared" si="140"/>
        <v>-166780</v>
      </c>
      <c r="Y179" s="210">
        <f t="shared" si="140"/>
        <v>-445277</v>
      </c>
      <c r="Z179" s="210">
        <f t="shared" si="140"/>
        <v>-879857</v>
      </c>
      <c r="AA179" s="210">
        <f t="shared" si="140"/>
        <v>-1695695.1004298388</v>
      </c>
      <c r="AB179" s="210">
        <f t="shared" si="140"/>
        <v>-1695695.1004298388</v>
      </c>
      <c r="AC179" s="210">
        <f t="shared" si="140"/>
        <v>-193950</v>
      </c>
      <c r="AD179" s="210">
        <f t="shared" si="140"/>
        <v>-261140</v>
      </c>
      <c r="AE179" s="210">
        <f t="shared" si="140"/>
        <v>-382332</v>
      </c>
      <c r="AF179" s="210">
        <f t="shared" si="140"/>
        <v>-431789</v>
      </c>
      <c r="AG179" s="210">
        <f t="shared" si="140"/>
        <v>-431789</v>
      </c>
      <c r="AH179" s="210">
        <f t="shared" si="140"/>
        <v>-57642</v>
      </c>
      <c r="AI179" s="210">
        <f t="shared" si="140"/>
        <v>-162015</v>
      </c>
      <c r="AJ179" s="210">
        <f>SUM(AJ162:AJ177)</f>
        <v>-204104</v>
      </c>
      <c r="AK179" s="210">
        <f t="shared" si="140"/>
        <v>-287422</v>
      </c>
      <c r="AL179" s="210">
        <f>SUM(AL162:AL177)</f>
        <v>-287422</v>
      </c>
      <c r="AM179" s="210">
        <f t="shared" si="140"/>
        <v>-256030</v>
      </c>
      <c r="AN179" s="210">
        <f t="shared" si="140"/>
        <v>-48487</v>
      </c>
      <c r="AO179" s="210">
        <f t="shared" si="140"/>
        <v>-426873</v>
      </c>
      <c r="AP179" s="210">
        <f t="shared" si="140"/>
        <v>-358370</v>
      </c>
      <c r="AQ179" s="210">
        <f>SUM(AQ162:AQ177)</f>
        <v>-358370</v>
      </c>
      <c r="AS179" s="210">
        <f t="shared" ref="AS179" si="141">SUM(AS162:AS177)</f>
        <v>-256030</v>
      </c>
      <c r="AT179" s="210">
        <f>SUM(AT162:AT177)</f>
        <v>-48487</v>
      </c>
      <c r="AU179" s="210">
        <f>SUM(AU162:AU177)</f>
        <v>-426873</v>
      </c>
      <c r="AV179" s="210"/>
      <c r="AW179" s="210">
        <f>SUM(AW162:AW177)</f>
        <v>-358370</v>
      </c>
      <c r="AX179" s="210">
        <f t="shared" ref="AX179" si="142">SUM(AX162:AX177)</f>
        <v>-288522</v>
      </c>
      <c r="AY179" s="210">
        <f>SUM(AY162:AY177)</f>
        <v>-721928</v>
      </c>
      <c r="AZ179" s="210">
        <f>SUM(AZ162:AZ177)</f>
        <v>-1077757</v>
      </c>
      <c r="BA179" s="210"/>
      <c r="BB179" s="210">
        <f>SUM(BB162:BB177)</f>
        <v>-1713312</v>
      </c>
      <c r="BC179" s="210">
        <f>SUM(BC162:BC177)</f>
        <v>92197</v>
      </c>
      <c r="BD179" s="211">
        <f>SUM(BD162:BD177)</f>
        <v>54724</v>
      </c>
      <c r="BE179" s="211">
        <f>SUM(BE162:BE177)</f>
        <v>85690</v>
      </c>
      <c r="BF179" s="211"/>
      <c r="BG179" s="211">
        <f t="shared" ref="BG179:BJ179" si="143">SUM(BG162:BG177)</f>
        <v>33608</v>
      </c>
      <c r="BH179" s="210">
        <f t="shared" si="143"/>
        <v>-29127</v>
      </c>
      <c r="BI179" s="210">
        <f t="shared" si="143"/>
        <v>-102800</v>
      </c>
      <c r="BJ179" s="210">
        <f t="shared" si="143"/>
        <v>-352749</v>
      </c>
      <c r="BK179" s="210"/>
      <c r="BL179" s="211">
        <f t="shared" ref="BL179:BO179" si="144">SUM(BL162:BL177)</f>
        <v>-542653</v>
      </c>
      <c r="BM179" s="210">
        <f t="shared" si="144"/>
        <v>-97246</v>
      </c>
      <c r="BN179" s="210">
        <f t="shared" si="144"/>
        <v>-213668</v>
      </c>
      <c r="BO179" s="210">
        <f t="shared" si="144"/>
        <v>-461401</v>
      </c>
    </row>
    <row r="180" spans="1:67" x14ac:dyDescent="0.2">
      <c r="B180" s="219"/>
      <c r="D180" s="165"/>
      <c r="E180" s="165"/>
      <c r="F180" s="165"/>
      <c r="G180" s="165"/>
      <c r="H180" s="165"/>
      <c r="I180" s="165"/>
      <c r="K180" s="165"/>
      <c r="L180" s="165"/>
      <c r="M180" s="165"/>
      <c r="N180" s="165"/>
      <c r="O180" s="165"/>
      <c r="P180" s="165"/>
      <c r="Q180" s="165"/>
      <c r="R180" s="165"/>
      <c r="S180" s="165"/>
      <c r="T180" s="165"/>
      <c r="U180" s="165"/>
      <c r="V180" s="165"/>
      <c r="W180" s="165"/>
      <c r="X180" s="165"/>
      <c r="Y180" s="165"/>
      <c r="Z180" s="165"/>
      <c r="AA180" s="165"/>
      <c r="AB180" s="165"/>
      <c r="AC180" s="165"/>
      <c r="AD180" s="165"/>
      <c r="AE180" s="165"/>
      <c r="AF180" s="165"/>
      <c r="AG180" s="165"/>
      <c r="AH180" s="165"/>
      <c r="AI180" s="165"/>
      <c r="AJ180" s="165"/>
      <c r="AK180" s="165"/>
      <c r="AL180" s="165"/>
      <c r="AM180" s="165"/>
      <c r="AN180" s="165"/>
      <c r="AO180" s="165"/>
      <c r="AP180" s="165"/>
      <c r="AQ180" s="165"/>
      <c r="AS180" s="165"/>
      <c r="AT180" s="165"/>
      <c r="AU180" s="165"/>
      <c r="AV180" s="165"/>
      <c r="AW180" s="165"/>
      <c r="AX180" s="165"/>
      <c r="AY180" s="165"/>
      <c r="AZ180" s="165"/>
      <c r="BA180" s="165"/>
      <c r="BB180" s="165"/>
      <c r="BC180" s="165"/>
      <c r="BD180" s="168"/>
      <c r="BE180" s="168"/>
      <c r="BF180" s="168"/>
      <c r="BG180" s="168"/>
      <c r="BH180" s="165"/>
      <c r="BI180" s="165"/>
      <c r="BJ180" s="165"/>
      <c r="BK180" s="165"/>
      <c r="BL180" s="168"/>
      <c r="BM180" s="165"/>
      <c r="BN180" s="165"/>
      <c r="BO180" s="165"/>
    </row>
    <row r="181" spans="1:67" x14ac:dyDescent="0.2">
      <c r="A181" s="126" t="s">
        <v>758</v>
      </c>
      <c r="D181" s="210"/>
      <c r="E181" s="210"/>
      <c r="F181" s="210"/>
      <c r="G181" s="210"/>
      <c r="H181" s="210"/>
      <c r="I181" s="210"/>
      <c r="J181" s="210"/>
      <c r="K181" s="210"/>
      <c r="L181" s="210"/>
      <c r="M181" s="210"/>
      <c r="N181" s="210"/>
      <c r="O181" s="210"/>
      <c r="P181" s="210"/>
      <c r="Q181" s="210"/>
      <c r="R181" s="210"/>
      <c r="S181" s="210"/>
      <c r="T181" s="210"/>
      <c r="U181" s="210"/>
      <c r="V181" s="210"/>
      <c r="W181" s="210"/>
      <c r="X181" s="210"/>
      <c r="Y181" s="210"/>
      <c r="Z181" s="210"/>
      <c r="AA181" s="210"/>
      <c r="AB181" s="210"/>
      <c r="AC181" s="210"/>
      <c r="AD181" s="210"/>
      <c r="AE181" s="210"/>
      <c r="AF181" s="210"/>
      <c r="AG181" s="210"/>
      <c r="AH181" s="210"/>
      <c r="AI181" s="210"/>
      <c r="AJ181" s="210"/>
      <c r="AK181" s="210"/>
      <c r="AL181" s="210"/>
      <c r="AM181" s="210"/>
      <c r="AN181" s="210"/>
      <c r="AO181" s="210"/>
      <c r="AP181" s="210"/>
      <c r="AQ181" s="210"/>
      <c r="AS181" s="210"/>
      <c r="AT181" s="210"/>
      <c r="AU181" s="210"/>
      <c r="AV181" s="210"/>
      <c r="AW181" s="210"/>
      <c r="AX181" s="210"/>
      <c r="AY181" s="210"/>
      <c r="AZ181" s="210"/>
      <c r="BA181" s="210"/>
      <c r="BB181" s="210"/>
      <c r="BC181" s="165"/>
      <c r="BD181" s="168"/>
      <c r="BE181" s="168"/>
      <c r="BF181" s="211"/>
      <c r="BG181" s="211"/>
      <c r="BH181" s="165"/>
      <c r="BI181" s="165"/>
      <c r="BJ181" s="165"/>
      <c r="BK181" s="165"/>
      <c r="BL181" s="211"/>
      <c r="BM181" s="165"/>
      <c r="BN181" s="165"/>
      <c r="BO181" s="165"/>
    </row>
    <row r="182" spans="1:67" x14ac:dyDescent="0.2">
      <c r="B182" s="212" t="s">
        <v>759</v>
      </c>
      <c r="C182" s="105" t="s">
        <v>687</v>
      </c>
      <c r="D182" s="165"/>
      <c r="E182" s="165"/>
      <c r="F182" s="165"/>
      <c r="G182" s="165"/>
      <c r="H182" s="165"/>
      <c r="I182" s="165">
        <v>10226</v>
      </c>
      <c r="J182" s="165">
        <v>10226</v>
      </c>
      <c r="K182" s="165">
        <v>12889</v>
      </c>
      <c r="L182" s="165">
        <v>83512</v>
      </c>
      <c r="M182" s="165">
        <v>83512</v>
      </c>
      <c r="N182" s="165">
        <v>104351</v>
      </c>
      <c r="O182" s="165">
        <v>104351</v>
      </c>
      <c r="P182" s="165">
        <v>104351</v>
      </c>
      <c r="Q182" s="165">
        <v>888949</v>
      </c>
      <c r="R182" s="165">
        <v>888949</v>
      </c>
      <c r="S182" s="165">
        <v>156321</v>
      </c>
      <c r="T182" s="165">
        <v>156344</v>
      </c>
      <c r="U182" s="165">
        <v>156344</v>
      </c>
      <c r="V182" s="165">
        <v>156321</v>
      </c>
      <c r="W182" s="165">
        <v>156321</v>
      </c>
      <c r="X182" s="165" t="s">
        <v>58</v>
      </c>
      <c r="Y182" s="165"/>
      <c r="Z182" s="165"/>
      <c r="AA182" s="165"/>
      <c r="AB182" s="165"/>
      <c r="AC182" s="165"/>
      <c r="AD182" s="165"/>
      <c r="AE182" s="165"/>
      <c r="AF182" s="165">
        <v>608496</v>
      </c>
      <c r="AG182" s="165">
        <f t="shared" si="131"/>
        <v>608496</v>
      </c>
      <c r="AH182" s="165"/>
      <c r="AI182" s="165"/>
      <c r="AJ182" s="165"/>
      <c r="AK182" s="165"/>
      <c r="AL182" s="165"/>
      <c r="AM182" s="165"/>
      <c r="AN182" s="165"/>
      <c r="AO182" s="165"/>
      <c r="AP182" s="165"/>
      <c r="AQ182" s="165"/>
      <c r="AS182" s="165"/>
      <c r="AT182" s="165"/>
      <c r="AU182" s="165"/>
      <c r="AV182" s="165"/>
      <c r="AW182" s="165">
        <v>0</v>
      </c>
      <c r="AX182" s="165"/>
      <c r="AY182" s="165"/>
      <c r="AZ182" s="165"/>
      <c r="BA182" s="165"/>
      <c r="BB182" s="165"/>
      <c r="BC182" s="165"/>
      <c r="BD182" s="168"/>
      <c r="BE182" s="168"/>
      <c r="BF182" s="168"/>
      <c r="BG182" s="168"/>
      <c r="BH182" s="165"/>
      <c r="BI182" s="165"/>
      <c r="BJ182" s="165"/>
      <c r="BK182" s="165"/>
      <c r="BL182" s="168"/>
      <c r="BM182" s="165"/>
      <c r="BN182" s="165"/>
      <c r="BO182" s="165"/>
    </row>
    <row r="183" spans="1:67" s="124" customFormat="1" x14ac:dyDescent="0.2">
      <c r="B183" s="221" t="s">
        <v>760</v>
      </c>
      <c r="C183" s="222" t="s">
        <v>687</v>
      </c>
      <c r="D183" s="168"/>
      <c r="E183" s="168"/>
      <c r="F183" s="168"/>
      <c r="G183" s="168"/>
      <c r="H183" s="168"/>
      <c r="I183" s="168">
        <v>-203</v>
      </c>
      <c r="J183" s="168">
        <v>-203</v>
      </c>
      <c r="K183" s="168">
        <v>-203</v>
      </c>
      <c r="L183" s="168">
        <v>-203</v>
      </c>
      <c r="M183" s="168">
        <v>-203</v>
      </c>
      <c r="N183" s="168"/>
      <c r="O183" s="168">
        <v>-148</v>
      </c>
      <c r="P183" s="168">
        <v>-148</v>
      </c>
      <c r="Q183" s="168" t="s">
        <v>58</v>
      </c>
      <c r="R183" s="168" t="s">
        <v>58</v>
      </c>
      <c r="S183" s="168"/>
      <c r="T183" s="168">
        <v>808</v>
      </c>
      <c r="U183" s="168">
        <v>792</v>
      </c>
      <c r="V183" s="168">
        <v>4661</v>
      </c>
      <c r="W183" s="168">
        <v>4661</v>
      </c>
      <c r="X183" s="168" t="s">
        <v>58</v>
      </c>
      <c r="Y183" s="168">
        <v>45</v>
      </c>
      <c r="Z183" s="168"/>
      <c r="AA183" s="168"/>
      <c r="AB183" s="168"/>
      <c r="AC183" s="168"/>
      <c r="AD183" s="168"/>
      <c r="AE183" s="168"/>
      <c r="AF183" s="168"/>
      <c r="AG183" s="168"/>
      <c r="AH183" s="168"/>
      <c r="AI183" s="168"/>
      <c r="AJ183" s="168"/>
      <c r="AK183" s="168"/>
      <c r="AL183" s="168"/>
      <c r="AM183" s="168"/>
      <c r="AN183" s="168"/>
      <c r="AO183" s="168"/>
      <c r="AP183" s="168"/>
      <c r="AQ183" s="168"/>
      <c r="AS183" s="168"/>
      <c r="AT183" s="168"/>
      <c r="AU183" s="168"/>
      <c r="AV183" s="168"/>
      <c r="AW183" s="168"/>
      <c r="AX183" s="168"/>
      <c r="AY183" s="168"/>
      <c r="AZ183" s="168"/>
      <c r="BA183" s="168"/>
      <c r="BB183" s="168"/>
      <c r="BC183" s="168"/>
      <c r="BD183" s="168"/>
      <c r="BE183" s="168"/>
      <c r="BF183" s="168"/>
      <c r="BG183" s="168"/>
      <c r="BH183" s="168"/>
      <c r="BI183" s="168"/>
      <c r="BJ183" s="168"/>
      <c r="BK183" s="168"/>
      <c r="BL183" s="168"/>
      <c r="BM183" s="168"/>
      <c r="BN183" s="168"/>
      <c r="BO183" s="168"/>
    </row>
    <row r="184" spans="1:67" s="124" customFormat="1" x14ac:dyDescent="0.2">
      <c r="B184" s="221" t="s">
        <v>761</v>
      </c>
      <c r="C184" s="222"/>
      <c r="D184" s="168"/>
      <c r="E184" s="168"/>
      <c r="F184" s="168"/>
      <c r="G184" s="168"/>
      <c r="H184" s="168"/>
      <c r="I184" s="168"/>
      <c r="J184" s="168"/>
      <c r="K184" s="168"/>
      <c r="L184" s="168"/>
      <c r="M184" s="168"/>
      <c r="N184" s="168"/>
      <c r="O184" s="168"/>
      <c r="P184" s="168"/>
      <c r="Q184" s="168"/>
      <c r="R184" s="168"/>
      <c r="S184" s="168"/>
      <c r="T184" s="168"/>
      <c r="U184" s="168"/>
      <c r="V184" s="168"/>
      <c r="W184" s="168"/>
      <c r="X184" s="168"/>
      <c r="Y184" s="168"/>
      <c r="Z184" s="168"/>
      <c r="AA184" s="168"/>
      <c r="AB184" s="168"/>
      <c r="AC184" s="168"/>
      <c r="AD184" s="168"/>
      <c r="AE184" s="168"/>
      <c r="AF184" s="168"/>
      <c r="AG184" s="168"/>
      <c r="AH184" s="168"/>
      <c r="AI184" s="168"/>
      <c r="AJ184" s="168"/>
      <c r="AK184" s="168"/>
      <c r="AL184" s="168"/>
      <c r="AM184" s="168"/>
      <c r="AN184" s="168"/>
      <c r="AO184" s="168"/>
      <c r="AP184" s="168"/>
      <c r="AQ184" s="168"/>
      <c r="AS184" s="168"/>
      <c r="AT184" s="168"/>
      <c r="AU184" s="168"/>
      <c r="AV184" s="168"/>
      <c r="AW184" s="168"/>
      <c r="AX184" s="168">
        <v>-289588</v>
      </c>
      <c r="AY184" s="168"/>
      <c r="AZ184" s="168"/>
      <c r="BA184" s="168"/>
      <c r="BB184" s="168">
        <v>-294105</v>
      </c>
      <c r="BC184" s="168"/>
      <c r="BD184" s="168">
        <v>-3225</v>
      </c>
      <c r="BE184" s="168">
        <v>-3225</v>
      </c>
      <c r="BF184" s="168"/>
      <c r="BG184" s="168">
        <v>-3225</v>
      </c>
      <c r="BH184" s="168"/>
      <c r="BI184" s="168"/>
      <c r="BJ184" s="168"/>
      <c r="BK184" s="168"/>
      <c r="BL184" s="168"/>
      <c r="BM184" s="168"/>
      <c r="BN184" s="168"/>
      <c r="BO184" s="168"/>
    </row>
    <row r="185" spans="1:67" x14ac:dyDescent="0.2">
      <c r="B185" s="212" t="s">
        <v>762</v>
      </c>
      <c r="C185" s="105" t="s">
        <v>687</v>
      </c>
      <c r="D185" s="165"/>
      <c r="E185" s="165"/>
      <c r="F185" s="165"/>
      <c r="G185" s="165"/>
      <c r="H185" s="165"/>
      <c r="I185" s="165">
        <v>84423</v>
      </c>
      <c r="J185" s="165">
        <v>179578</v>
      </c>
      <c r="K185" s="165">
        <v>1034512</v>
      </c>
      <c r="L185" s="165">
        <v>2185663</v>
      </c>
      <c r="M185" s="165">
        <v>2185663</v>
      </c>
      <c r="N185" s="165">
        <v>458742</v>
      </c>
      <c r="O185" s="165">
        <v>1147107</v>
      </c>
      <c r="P185" s="165">
        <v>1401245</v>
      </c>
      <c r="Q185" s="165">
        <v>2043518</v>
      </c>
      <c r="R185" s="165">
        <v>2043518</v>
      </c>
      <c r="S185" s="165">
        <v>83608</v>
      </c>
      <c r="T185" s="165">
        <v>278833</v>
      </c>
      <c r="U185" s="165">
        <v>428080</v>
      </c>
      <c r="V185" s="165">
        <v>1042820</v>
      </c>
      <c r="W185" s="165">
        <v>1042820</v>
      </c>
      <c r="X185" s="165">
        <v>129299</v>
      </c>
      <c r="Y185" s="165">
        <v>709543</v>
      </c>
      <c r="Z185" s="165">
        <v>1161306</v>
      </c>
      <c r="AA185" s="165">
        <v>1791484</v>
      </c>
      <c r="AB185" s="165">
        <v>1791484</v>
      </c>
      <c r="AC185" s="165">
        <v>607590</v>
      </c>
      <c r="AD185" s="165">
        <v>844282</v>
      </c>
      <c r="AE185" s="165">
        <v>1655987</v>
      </c>
      <c r="AF185" s="165">
        <v>1820016</v>
      </c>
      <c r="AG185" s="165">
        <f t="shared" ref="AG185:AG193" si="145">AF185</f>
        <v>1820016</v>
      </c>
      <c r="AH185" s="165">
        <v>49726</v>
      </c>
      <c r="AI185" s="165">
        <v>908748</v>
      </c>
      <c r="AJ185" s="165">
        <v>1275470</v>
      </c>
      <c r="AK185" s="165">
        <v>1305384</v>
      </c>
      <c r="AL185" s="165">
        <f t="shared" ref="AL185:AL193" si="146">AK185</f>
        <v>1305384</v>
      </c>
      <c r="AM185" s="165">
        <v>5004</v>
      </c>
      <c r="AN185" s="165">
        <v>382663</v>
      </c>
      <c r="AO185" s="165">
        <v>769162</v>
      </c>
      <c r="AP185" s="165">
        <v>779062</v>
      </c>
      <c r="AQ185" s="165">
        <f t="shared" ref="AQ185:AQ193" si="147">AP185</f>
        <v>779062</v>
      </c>
      <c r="AS185" s="165">
        <v>5004</v>
      </c>
      <c r="AT185" s="165">
        <v>382663</v>
      </c>
      <c r="AU185" s="165">
        <v>769162</v>
      </c>
      <c r="AV185" s="165"/>
      <c r="AW185" s="165">
        <v>779062</v>
      </c>
      <c r="AX185" s="165">
        <v>594354</v>
      </c>
      <c r="AY185" s="165">
        <v>1038473</v>
      </c>
      <c r="AZ185" s="165">
        <v>1349970</v>
      </c>
      <c r="BA185" s="165"/>
      <c r="BB185" s="165">
        <v>1781728</v>
      </c>
      <c r="BC185" s="165">
        <v>596131</v>
      </c>
      <c r="BD185" s="168">
        <v>689809</v>
      </c>
      <c r="BE185" s="168">
        <v>689809</v>
      </c>
      <c r="BF185" s="168"/>
      <c r="BG185" s="168">
        <v>1425184</v>
      </c>
      <c r="BH185" s="168">
        <v>0</v>
      </c>
      <c r="BI185" s="168">
        <v>0</v>
      </c>
      <c r="BJ185" s="168">
        <v>0</v>
      </c>
      <c r="BK185" s="168"/>
      <c r="BL185" s="168">
        <v>0</v>
      </c>
      <c r="BM185" s="168">
        <v>0</v>
      </c>
      <c r="BN185" s="168"/>
      <c r="BO185" s="168"/>
    </row>
    <row r="186" spans="1:67" x14ac:dyDescent="0.2">
      <c r="B186" s="212" t="s">
        <v>763</v>
      </c>
      <c r="C186" s="105" t="s">
        <v>687</v>
      </c>
      <c r="D186" s="165"/>
      <c r="E186" s="165"/>
      <c r="F186" s="165"/>
      <c r="G186" s="165"/>
      <c r="H186" s="165"/>
      <c r="I186" s="165">
        <v>75000</v>
      </c>
      <c r="J186" s="165">
        <v>110000</v>
      </c>
      <c r="K186" s="165">
        <v>152000</v>
      </c>
      <c r="L186" s="165">
        <v>152000</v>
      </c>
      <c r="M186" s="165">
        <v>152000</v>
      </c>
      <c r="N186" s="165">
        <v>75000</v>
      </c>
      <c r="O186" s="165">
        <v>535940</v>
      </c>
      <c r="P186" s="165">
        <v>1044446</v>
      </c>
      <c r="Q186" s="165">
        <v>1101159</v>
      </c>
      <c r="R186" s="165">
        <v>1101159</v>
      </c>
      <c r="S186" s="165" t="s">
        <v>58</v>
      </c>
      <c r="T186" s="165">
        <v>286151</v>
      </c>
      <c r="U186" s="165">
        <v>561151</v>
      </c>
      <c r="V186" s="165">
        <v>603151</v>
      </c>
      <c r="W186" s="165">
        <v>603151</v>
      </c>
      <c r="X186" s="165">
        <v>14990</v>
      </c>
      <c r="Y186" s="165">
        <v>45000</v>
      </c>
      <c r="Z186" s="165">
        <v>115000</v>
      </c>
      <c r="AA186" s="165">
        <v>205000</v>
      </c>
      <c r="AB186" s="165">
        <v>205000</v>
      </c>
      <c r="AC186" s="165">
        <v>120000</v>
      </c>
      <c r="AD186" s="165">
        <v>230000</v>
      </c>
      <c r="AE186" s="165">
        <v>230000</v>
      </c>
      <c r="AF186" s="165">
        <v>279593</v>
      </c>
      <c r="AG186" s="165">
        <f t="shared" si="145"/>
        <v>279593</v>
      </c>
      <c r="AH186" s="165">
        <v>100000</v>
      </c>
      <c r="AI186" s="165">
        <v>100000</v>
      </c>
      <c r="AJ186" s="165">
        <v>132280</v>
      </c>
      <c r="AK186" s="165">
        <v>132280</v>
      </c>
      <c r="AL186" s="165">
        <f t="shared" si="146"/>
        <v>132280</v>
      </c>
      <c r="AM186" s="165">
        <v>80000</v>
      </c>
      <c r="AN186" s="165">
        <v>205000</v>
      </c>
      <c r="AO186" s="165">
        <v>243000</v>
      </c>
      <c r="AP186" s="165">
        <v>293000</v>
      </c>
      <c r="AQ186" s="165">
        <f t="shared" si="147"/>
        <v>293000</v>
      </c>
      <c r="AS186" s="165">
        <v>80000</v>
      </c>
      <c r="AT186" s="165">
        <v>205000</v>
      </c>
      <c r="AU186" s="165">
        <v>243000</v>
      </c>
      <c r="AV186" s="165"/>
      <c r="AW186" s="165">
        <v>293000</v>
      </c>
      <c r="AX186" s="165">
        <v>0</v>
      </c>
      <c r="AY186" s="165">
        <v>50000</v>
      </c>
      <c r="AZ186" s="165">
        <v>64000</v>
      </c>
      <c r="BA186" s="165"/>
      <c r="BB186" s="165">
        <v>93000</v>
      </c>
      <c r="BC186" s="165">
        <v>254668</v>
      </c>
      <c r="BD186" s="168">
        <v>560296</v>
      </c>
      <c r="BE186" s="168">
        <v>560296</v>
      </c>
      <c r="BF186" s="168"/>
      <c r="BG186" s="168">
        <v>560296</v>
      </c>
      <c r="BH186" s="168">
        <v>0</v>
      </c>
      <c r="BI186" s="168">
        <v>369898</v>
      </c>
      <c r="BJ186" s="168">
        <v>370465</v>
      </c>
      <c r="BK186" s="168"/>
      <c r="BL186" s="168">
        <v>661609</v>
      </c>
      <c r="BM186" s="168">
        <v>277758</v>
      </c>
      <c r="BN186" s="168">
        <v>2779476</v>
      </c>
      <c r="BO186" s="168">
        <v>2779476</v>
      </c>
    </row>
    <row r="187" spans="1:67" x14ac:dyDescent="0.2">
      <c r="B187" s="212" t="s">
        <v>764</v>
      </c>
      <c r="C187" s="105"/>
      <c r="D187" s="165"/>
      <c r="E187" s="165"/>
      <c r="F187" s="165"/>
      <c r="G187" s="165"/>
      <c r="H187" s="165"/>
      <c r="I187" s="165"/>
      <c r="J187" s="165"/>
      <c r="K187" s="165"/>
      <c r="L187" s="165"/>
      <c r="M187" s="165"/>
      <c r="N187" s="165"/>
      <c r="O187" s="165"/>
      <c r="P187" s="165"/>
      <c r="Q187" s="165"/>
      <c r="R187" s="165"/>
      <c r="S187" s="165"/>
      <c r="T187" s="165"/>
      <c r="U187" s="165"/>
      <c r="V187" s="165"/>
      <c r="W187" s="165"/>
      <c r="X187" s="165"/>
      <c r="Y187" s="165"/>
      <c r="Z187" s="165"/>
      <c r="AA187" s="165"/>
      <c r="AB187" s="165"/>
      <c r="AC187" s="165"/>
      <c r="AD187" s="165"/>
      <c r="AE187" s="165"/>
      <c r="AF187" s="165"/>
      <c r="AG187" s="165"/>
      <c r="AH187" s="165"/>
      <c r="AI187" s="165"/>
      <c r="AJ187" s="165"/>
      <c r="AK187" s="165"/>
      <c r="AL187" s="165"/>
      <c r="AM187" s="165"/>
      <c r="AN187" s="165"/>
      <c r="AO187" s="165"/>
      <c r="AP187" s="165"/>
      <c r="AQ187" s="165"/>
      <c r="AS187" s="165"/>
      <c r="AT187" s="165"/>
      <c r="AU187" s="165"/>
      <c r="AV187" s="165"/>
      <c r="AW187" s="165"/>
      <c r="AX187" s="165"/>
      <c r="AY187" s="165"/>
      <c r="AZ187" s="165"/>
      <c r="BA187" s="165"/>
      <c r="BB187" s="165"/>
      <c r="BC187" s="165"/>
      <c r="BD187" s="168"/>
      <c r="BE187" s="168"/>
      <c r="BF187" s="168"/>
      <c r="BG187" s="168">
        <v>373125</v>
      </c>
      <c r="BH187" s="168">
        <v>0</v>
      </c>
      <c r="BI187" s="168">
        <v>130102</v>
      </c>
      <c r="BJ187" s="168">
        <v>130102</v>
      </c>
      <c r="BK187" s="168"/>
      <c r="BL187" s="168">
        <v>130102</v>
      </c>
      <c r="BM187" s="168">
        <v>22242</v>
      </c>
      <c r="BN187" s="168">
        <v>234363</v>
      </c>
      <c r="BO187" s="168">
        <v>234363</v>
      </c>
    </row>
    <row r="188" spans="1:67" x14ac:dyDescent="0.2">
      <c r="B188" s="212" t="s">
        <v>765</v>
      </c>
      <c r="C188" s="105" t="s">
        <v>687</v>
      </c>
      <c r="D188" s="165"/>
      <c r="E188" s="165"/>
      <c r="F188" s="165"/>
      <c r="G188" s="165"/>
      <c r="H188" s="165"/>
      <c r="I188" s="165">
        <v>-132689</v>
      </c>
      <c r="J188" s="165">
        <v>-245204</v>
      </c>
      <c r="K188" s="165">
        <v>-366031</v>
      </c>
      <c r="L188" s="165">
        <v>-539332</v>
      </c>
      <c r="M188" s="165">
        <v>-539332</v>
      </c>
      <c r="N188" s="165">
        <v>-292964</v>
      </c>
      <c r="O188" s="165">
        <v>-550142</v>
      </c>
      <c r="P188" s="165">
        <v>-1000847</v>
      </c>
      <c r="Q188" s="165">
        <v>-1952013</v>
      </c>
      <c r="R188" s="165">
        <v>-1952013</v>
      </c>
      <c r="S188" s="165">
        <v>-1121751</v>
      </c>
      <c r="T188" s="165">
        <v>-1604988</v>
      </c>
      <c r="U188" s="165">
        <v>-2012490</v>
      </c>
      <c r="V188" s="165">
        <v>-2315120</v>
      </c>
      <c r="W188" s="165">
        <v>-2315120</v>
      </c>
      <c r="X188" s="165">
        <v>-164563</v>
      </c>
      <c r="Y188" s="165">
        <v>-677644</v>
      </c>
      <c r="Z188" s="165">
        <v>-949875</v>
      </c>
      <c r="AA188" s="165">
        <v>-1263792.8870884669</v>
      </c>
      <c r="AB188" s="165">
        <v>-1263792.8870884669</v>
      </c>
      <c r="AC188" s="165">
        <v>-405779</v>
      </c>
      <c r="AD188" s="165">
        <v>-886880</v>
      </c>
      <c r="AE188" s="165">
        <v>-1501913.2253982783</v>
      </c>
      <c r="AF188" s="165">
        <v>-2121130</v>
      </c>
      <c r="AG188" s="165">
        <f t="shared" si="145"/>
        <v>-2121130</v>
      </c>
      <c r="AH188" s="165">
        <v>-288228</v>
      </c>
      <c r="AI188" s="165">
        <v>-785901</v>
      </c>
      <c r="AJ188" s="165">
        <v>-1628587</v>
      </c>
      <c r="AK188" s="165">
        <v>-1829191</v>
      </c>
      <c r="AL188" s="165">
        <f t="shared" si="146"/>
        <v>-1829191</v>
      </c>
      <c r="AM188" s="165">
        <v>-200841</v>
      </c>
      <c r="AN188" s="165">
        <v>-588714</v>
      </c>
      <c r="AO188" s="165">
        <v>-745596</v>
      </c>
      <c r="AP188" s="165">
        <v>-1045662</v>
      </c>
      <c r="AQ188" s="165">
        <f t="shared" si="147"/>
        <v>-1045662</v>
      </c>
      <c r="AS188" s="165">
        <v>-384985</v>
      </c>
      <c r="AT188" s="165">
        <v>-960696</v>
      </c>
      <c r="AU188" s="165">
        <v>-1320768</v>
      </c>
      <c r="AV188" s="165"/>
      <c r="AW188" s="165">
        <v>-1738349</v>
      </c>
      <c r="AX188" s="165">
        <v>-306081</v>
      </c>
      <c r="AY188" s="165">
        <v>-617926</v>
      </c>
      <c r="AZ188" s="165">
        <v>-1137847</v>
      </c>
      <c r="BA188" s="165"/>
      <c r="BB188" s="165">
        <v>-1860455</v>
      </c>
      <c r="BC188" s="165">
        <v>-392555</v>
      </c>
      <c r="BD188" s="168">
        <v>-773100</v>
      </c>
      <c r="BE188" s="168">
        <v>-786354</v>
      </c>
      <c r="BF188" s="168"/>
      <c r="BG188" s="168">
        <v>-793712</v>
      </c>
      <c r="BH188" s="168">
        <v>-18241</v>
      </c>
      <c r="BI188" s="168">
        <v>-30383</v>
      </c>
      <c r="BJ188" s="168">
        <v>-345983.44430749636</v>
      </c>
      <c r="BK188" s="168"/>
      <c r="BL188" s="168">
        <v>-463047.50696999999</v>
      </c>
      <c r="BM188" s="168">
        <v>-60697.833203479902</v>
      </c>
      <c r="BN188" s="168">
        <v>-1870614</v>
      </c>
      <c r="BO188" s="168">
        <v>-1951178</v>
      </c>
    </row>
    <row r="189" spans="1:67" x14ac:dyDescent="0.2">
      <c r="B189" s="212" t="s">
        <v>766</v>
      </c>
      <c r="C189" s="105" t="s">
        <v>687</v>
      </c>
      <c r="D189" s="165"/>
      <c r="E189" s="165"/>
      <c r="F189" s="165"/>
      <c r="G189" s="165"/>
      <c r="H189" s="165"/>
      <c r="I189" s="165">
        <v>-22416</v>
      </c>
      <c r="J189" s="165">
        <v>-48303</v>
      </c>
      <c r="K189" s="165">
        <v>-171872</v>
      </c>
      <c r="L189" s="165">
        <v>-292931</v>
      </c>
      <c r="M189" s="165">
        <v>-292931</v>
      </c>
      <c r="N189" s="165">
        <v>-121581</v>
      </c>
      <c r="O189" s="165">
        <v>-240279</v>
      </c>
      <c r="P189" s="165">
        <v>-347749</v>
      </c>
      <c r="Q189" s="165">
        <v>-423105</v>
      </c>
      <c r="R189" s="165">
        <v>-423105</v>
      </c>
      <c r="S189" s="165">
        <v>-106343</v>
      </c>
      <c r="T189" s="165">
        <v>-193970</v>
      </c>
      <c r="U189" s="165">
        <v>-280979</v>
      </c>
      <c r="V189" s="165">
        <v>-394131</v>
      </c>
      <c r="W189" s="165">
        <v>-394131</v>
      </c>
      <c r="X189" s="165">
        <v>-76312</v>
      </c>
      <c r="Y189" s="165">
        <v>-158113</v>
      </c>
      <c r="Z189" s="165">
        <v>-241778</v>
      </c>
      <c r="AA189" s="165">
        <v>-342613.77571285912</v>
      </c>
      <c r="AB189" s="165">
        <v>-342613.77571285912</v>
      </c>
      <c r="AC189" s="165">
        <v>-90268</v>
      </c>
      <c r="AD189" s="165">
        <v>-159519</v>
      </c>
      <c r="AE189" s="165">
        <v>-229927</v>
      </c>
      <c r="AF189" s="165">
        <v>-314580</v>
      </c>
      <c r="AG189" s="165">
        <f t="shared" si="145"/>
        <v>-314580</v>
      </c>
      <c r="AH189" s="165">
        <v>-84487</v>
      </c>
      <c r="AI189" s="165">
        <v>-160546</v>
      </c>
      <c r="AJ189" s="165">
        <v>-244153</v>
      </c>
      <c r="AK189" s="165">
        <v>-344901</v>
      </c>
      <c r="AL189" s="165">
        <f t="shared" si="146"/>
        <v>-344901</v>
      </c>
      <c r="AM189" s="165">
        <v>-184144</v>
      </c>
      <c r="AN189" s="165">
        <v>-371982</v>
      </c>
      <c r="AO189" s="165">
        <v>-575172</v>
      </c>
      <c r="AP189" s="165">
        <v>-692687</v>
      </c>
      <c r="AQ189" s="165">
        <f t="shared" si="147"/>
        <v>-692687</v>
      </c>
      <c r="AS189" s="165">
        <v>-97427</v>
      </c>
      <c r="AT189" s="165">
        <v>-191308</v>
      </c>
      <c r="AU189" s="165">
        <v>-280768</v>
      </c>
      <c r="AV189" s="165"/>
      <c r="AW189" s="165">
        <v>-385649.69692387799</v>
      </c>
      <c r="AX189" s="165">
        <v>-94136</v>
      </c>
      <c r="AY189" s="165">
        <v>-190567</v>
      </c>
      <c r="AZ189" s="165">
        <v>-292082</v>
      </c>
      <c r="BA189" s="165"/>
      <c r="BB189" s="165">
        <v>-398992</v>
      </c>
      <c r="BC189" s="165">
        <v>-109524</v>
      </c>
      <c r="BD189" s="168">
        <v>-106461</v>
      </c>
      <c r="BE189" s="168">
        <v>-113741</v>
      </c>
      <c r="BF189" s="168"/>
      <c r="BG189" s="168">
        <v>-122062</v>
      </c>
      <c r="BH189" s="168">
        <v>-61956</v>
      </c>
      <c r="BI189" s="168">
        <v>-88958</v>
      </c>
      <c r="BJ189" s="168">
        <v>-97438.004556088388</v>
      </c>
      <c r="BK189" s="168"/>
      <c r="BL189" s="168">
        <v>-103366.06574912101</v>
      </c>
      <c r="BM189" s="168">
        <v>-6002.4028499999995</v>
      </c>
      <c r="BN189" s="168">
        <v>-10718</v>
      </c>
      <c r="BO189" s="168">
        <v>-76336</v>
      </c>
    </row>
    <row r="190" spans="1:67" x14ac:dyDescent="0.2">
      <c r="B190" s="212" t="s">
        <v>767</v>
      </c>
      <c r="C190" s="105"/>
      <c r="D190" s="165"/>
      <c r="E190" s="165"/>
      <c r="F190" s="165"/>
      <c r="G190" s="165"/>
      <c r="H190" s="165"/>
      <c r="I190" s="165"/>
      <c r="J190" s="165"/>
      <c r="K190" s="165"/>
      <c r="L190" s="165"/>
      <c r="M190" s="165"/>
      <c r="N190" s="165"/>
      <c r="O190" s="165"/>
      <c r="P190" s="165"/>
      <c r="Q190" s="165"/>
      <c r="R190" s="165"/>
      <c r="S190" s="165"/>
      <c r="T190" s="165"/>
      <c r="U190" s="165"/>
      <c r="V190" s="165"/>
      <c r="W190" s="165"/>
      <c r="X190" s="165"/>
      <c r="Y190" s="165"/>
      <c r="Z190" s="165"/>
      <c r="AA190" s="165"/>
      <c r="AB190" s="165"/>
      <c r="AC190" s="165"/>
      <c r="AD190" s="165"/>
      <c r="AE190" s="165"/>
      <c r="AF190" s="165"/>
      <c r="AG190" s="165"/>
      <c r="AH190" s="165"/>
      <c r="AI190" s="165"/>
      <c r="AJ190" s="165"/>
      <c r="AK190" s="165"/>
      <c r="AL190" s="165"/>
      <c r="AM190" s="165"/>
      <c r="AN190" s="165"/>
      <c r="AO190" s="165"/>
      <c r="AP190" s="165"/>
      <c r="AQ190" s="165"/>
      <c r="AS190" s="165"/>
      <c r="AT190" s="165"/>
      <c r="AU190" s="165"/>
      <c r="AV190" s="165"/>
      <c r="AW190" s="165"/>
      <c r="AX190" s="165"/>
      <c r="AY190" s="165"/>
      <c r="AZ190" s="165"/>
      <c r="BA190" s="165"/>
      <c r="BB190" s="165"/>
      <c r="BC190" s="165"/>
      <c r="BD190" s="168"/>
      <c r="BE190" s="168"/>
      <c r="BF190" s="168"/>
      <c r="BG190" s="168"/>
      <c r="BH190" s="168"/>
      <c r="BI190" s="168"/>
      <c r="BJ190" s="168"/>
      <c r="BK190" s="168"/>
      <c r="BL190" s="168"/>
      <c r="BM190" s="168"/>
      <c r="BN190" s="168">
        <v>-728903</v>
      </c>
      <c r="BO190" s="168">
        <v>-728903</v>
      </c>
    </row>
    <row r="191" spans="1:67" x14ac:dyDescent="0.2">
      <c r="B191" s="212" t="s">
        <v>768</v>
      </c>
      <c r="C191" s="105" t="s">
        <v>687</v>
      </c>
      <c r="D191" s="165"/>
      <c r="E191" s="165"/>
      <c r="F191" s="165"/>
      <c r="G191" s="165"/>
      <c r="H191" s="165"/>
      <c r="I191" s="165">
        <v>85041</v>
      </c>
      <c r="J191" s="165">
        <v>-103517</v>
      </c>
      <c r="K191" s="165">
        <v>-104780</v>
      </c>
      <c r="L191" s="165">
        <v>-124827</v>
      </c>
      <c r="M191" s="165">
        <v>-124827</v>
      </c>
      <c r="N191" s="165">
        <v>-9166</v>
      </c>
      <c r="O191" s="165">
        <v>-18518</v>
      </c>
      <c r="P191" s="165">
        <v>-24068</v>
      </c>
      <c r="Q191" s="165">
        <v>-29694</v>
      </c>
      <c r="R191" s="165">
        <v>-29694</v>
      </c>
      <c r="S191" s="165">
        <v>-400</v>
      </c>
      <c r="T191" s="165">
        <v>-18242</v>
      </c>
      <c r="U191" s="165">
        <v>-26874</v>
      </c>
      <c r="V191" s="165">
        <v>-35362</v>
      </c>
      <c r="W191" s="165">
        <v>-35362</v>
      </c>
      <c r="X191" s="165">
        <v>-9419</v>
      </c>
      <c r="Y191" s="165">
        <v>-17836</v>
      </c>
      <c r="Z191" s="165">
        <v>-25683</v>
      </c>
      <c r="AA191" s="165">
        <v>-35032</v>
      </c>
      <c r="AB191" s="165">
        <v>-35032</v>
      </c>
      <c r="AC191" s="165">
        <v>-13875</v>
      </c>
      <c r="AD191" s="165">
        <v>-19799</v>
      </c>
      <c r="AE191" s="165">
        <v>-30687</v>
      </c>
      <c r="AF191" s="165">
        <v>-41223</v>
      </c>
      <c r="AG191" s="165">
        <f t="shared" si="145"/>
        <v>-41223</v>
      </c>
      <c r="AH191" s="165">
        <v>-11796</v>
      </c>
      <c r="AI191" s="165">
        <v>-43394</v>
      </c>
      <c r="AJ191" s="165">
        <v>-53176</v>
      </c>
      <c r="AK191" s="165">
        <v>-66642</v>
      </c>
      <c r="AL191" s="165">
        <f t="shared" si="146"/>
        <v>-66642</v>
      </c>
      <c r="AM191" s="165">
        <v>-9716</v>
      </c>
      <c r="AN191" s="165">
        <v>-63359</v>
      </c>
      <c r="AO191" s="165">
        <v>-68206</v>
      </c>
      <c r="AP191" s="165">
        <v>-72620</v>
      </c>
      <c r="AQ191" s="165">
        <f t="shared" si="147"/>
        <v>-72620</v>
      </c>
      <c r="AS191" s="165">
        <v>-9716</v>
      </c>
      <c r="AT191" s="165">
        <v>-63359</v>
      </c>
      <c r="AU191" s="165">
        <v>-68206</v>
      </c>
      <c r="AV191" s="165"/>
      <c r="AW191" s="165">
        <v>-72620</v>
      </c>
      <c r="AX191" s="165">
        <v>0</v>
      </c>
      <c r="AY191" s="165">
        <v>-55116</v>
      </c>
      <c r="AZ191" s="165">
        <v>-55116</v>
      </c>
      <c r="BA191" s="165"/>
      <c r="BB191" s="165">
        <v>-55116</v>
      </c>
      <c r="BC191" s="165">
        <v>-571</v>
      </c>
      <c r="BD191" s="168">
        <v>-571</v>
      </c>
      <c r="BE191" s="168">
        <v>-571</v>
      </c>
      <c r="BF191" s="168"/>
      <c r="BG191" s="168">
        <v>-571</v>
      </c>
      <c r="BH191" s="168">
        <v>0</v>
      </c>
      <c r="BI191" s="168">
        <v>0</v>
      </c>
      <c r="BJ191" s="168">
        <v>0</v>
      </c>
      <c r="BK191" s="168"/>
      <c r="BL191" s="168">
        <v>0</v>
      </c>
      <c r="BM191" s="168">
        <v>0</v>
      </c>
      <c r="BN191" s="168">
        <v>0</v>
      </c>
      <c r="BO191" s="168">
        <v>0</v>
      </c>
    </row>
    <row r="192" spans="1:67" x14ac:dyDescent="0.2">
      <c r="B192" s="212" t="s">
        <v>769</v>
      </c>
      <c r="C192" s="105" t="s">
        <v>687</v>
      </c>
      <c r="D192" s="165"/>
      <c r="E192" s="165"/>
      <c r="F192" s="165"/>
      <c r="G192" s="165"/>
      <c r="H192" s="165"/>
      <c r="I192" s="165">
        <v>-26822</v>
      </c>
      <c r="J192" s="165">
        <v>-55215</v>
      </c>
      <c r="K192" s="165">
        <v>-138818</v>
      </c>
      <c r="L192" s="165">
        <v>-227607</v>
      </c>
      <c r="M192" s="165">
        <v>-227607</v>
      </c>
      <c r="N192" s="165">
        <v>-84793</v>
      </c>
      <c r="O192" s="165">
        <v>-173715</v>
      </c>
      <c r="P192" s="165">
        <v>-256381</v>
      </c>
      <c r="Q192" s="165">
        <v>-361006</v>
      </c>
      <c r="R192" s="165">
        <v>-361006</v>
      </c>
      <c r="S192" s="165">
        <v>-116548</v>
      </c>
      <c r="T192" s="165">
        <v>-211772</v>
      </c>
      <c r="U192" s="165">
        <v>-284115</v>
      </c>
      <c r="V192" s="165">
        <v>-368789</v>
      </c>
      <c r="W192" s="165">
        <v>-368789</v>
      </c>
      <c r="X192" s="165">
        <v>-75100</v>
      </c>
      <c r="Y192" s="165">
        <v>-171469</v>
      </c>
      <c r="Z192" s="165">
        <v>-237148</v>
      </c>
      <c r="AA192" s="165">
        <v>-383648.03690614528</v>
      </c>
      <c r="AB192" s="165">
        <v>-383648.03690614528</v>
      </c>
      <c r="AC192" s="165">
        <v>-73255</v>
      </c>
      <c r="AD192" s="165">
        <v>-201684</v>
      </c>
      <c r="AE192" s="165">
        <v>-282312</v>
      </c>
      <c r="AF192" s="165">
        <v>-398288</v>
      </c>
      <c r="AG192" s="165">
        <f t="shared" si="145"/>
        <v>-398288</v>
      </c>
      <c r="AH192" s="165">
        <v>-63913</v>
      </c>
      <c r="AI192" s="165">
        <v>-181865</v>
      </c>
      <c r="AJ192" s="165">
        <v>-271939</v>
      </c>
      <c r="AK192" s="165">
        <v>-389724</v>
      </c>
      <c r="AL192" s="165">
        <f t="shared" si="146"/>
        <v>-389724</v>
      </c>
      <c r="AM192" s="165">
        <v>-60577</v>
      </c>
      <c r="AN192" s="165">
        <v>-181451</v>
      </c>
      <c r="AO192" s="165">
        <v>-240584</v>
      </c>
      <c r="AP192" s="165">
        <v>-357355</v>
      </c>
      <c r="AQ192" s="165">
        <f t="shared" si="147"/>
        <v>-357355</v>
      </c>
      <c r="AS192" s="165">
        <v>-107715</v>
      </c>
      <c r="AT192" s="165">
        <v>-275798</v>
      </c>
      <c r="AU192" s="165">
        <v>-380004</v>
      </c>
      <c r="AV192" s="165"/>
      <c r="AW192" s="165">
        <v>-542221.596806293</v>
      </c>
      <c r="AX192" s="165">
        <v>-100919</v>
      </c>
      <c r="AY192" s="165">
        <v>-255892</v>
      </c>
      <c r="AZ192" s="165">
        <v>-397206</v>
      </c>
      <c r="BA192" s="165"/>
      <c r="BB192" s="165">
        <v>-550877</v>
      </c>
      <c r="BC192" s="165">
        <v>-121864</v>
      </c>
      <c r="BD192" s="168">
        <v>-164377</v>
      </c>
      <c r="BE192" s="168">
        <v>-175585</v>
      </c>
      <c r="BF192" s="168"/>
      <c r="BG192" s="168">
        <v>-210418</v>
      </c>
      <c r="BH192" s="168">
        <v>-41187</v>
      </c>
      <c r="BI192" s="168">
        <v>-64428</v>
      </c>
      <c r="BJ192" s="168">
        <v>-85901</v>
      </c>
      <c r="BK192" s="168"/>
      <c r="BL192" s="168">
        <v>-104621</v>
      </c>
      <c r="BM192" s="168">
        <v>-18078</v>
      </c>
      <c r="BN192" s="168">
        <v>-243511</v>
      </c>
      <c r="BO192" s="168">
        <v>-293554</v>
      </c>
    </row>
    <row r="193" spans="1:67" x14ac:dyDescent="0.2">
      <c r="B193" s="212" t="s">
        <v>739</v>
      </c>
      <c r="C193" s="105" t="s">
        <v>687</v>
      </c>
      <c r="D193" s="165"/>
      <c r="E193" s="165"/>
      <c r="F193" s="165"/>
      <c r="G193" s="165"/>
      <c r="H193" s="165"/>
      <c r="I193" s="165">
        <v>53085</v>
      </c>
      <c r="J193" s="165">
        <v>60694</v>
      </c>
      <c r="K193" s="165">
        <v>83027</v>
      </c>
      <c r="L193" s="165">
        <v>-231079</v>
      </c>
      <c r="M193" s="165">
        <v>-231079</v>
      </c>
      <c r="N193" s="165">
        <v>-8738</v>
      </c>
      <c r="O193" s="165">
        <v>-33810</v>
      </c>
      <c r="P193" s="165">
        <v>61616</v>
      </c>
      <c r="Q193" s="165">
        <v>-62013</v>
      </c>
      <c r="R193" s="165">
        <v>-62013</v>
      </c>
      <c r="S193" s="165">
        <v>54943</v>
      </c>
      <c r="T193" s="165">
        <v>43997</v>
      </c>
      <c r="U193" s="165">
        <v>-14949</v>
      </c>
      <c r="V193" s="165">
        <v>-13777</v>
      </c>
      <c r="W193" s="165">
        <v>-13777</v>
      </c>
      <c r="X193" s="165">
        <v>41311</v>
      </c>
      <c r="Y193" s="165">
        <v>24163</v>
      </c>
      <c r="Z193" s="165">
        <v>-33600</v>
      </c>
      <c r="AA193" s="165">
        <v>-99757.38514350538</v>
      </c>
      <c r="AB193" s="165">
        <v>-99757.38514350538</v>
      </c>
      <c r="AC193" s="165">
        <v>-82859</v>
      </c>
      <c r="AD193" s="165">
        <v>-165390</v>
      </c>
      <c r="AE193" s="165">
        <v>-170667</v>
      </c>
      <c r="AF193" s="165">
        <v>-229163</v>
      </c>
      <c r="AG193" s="165">
        <f t="shared" si="145"/>
        <v>-229163</v>
      </c>
      <c r="AH193" s="165">
        <v>80581</v>
      </c>
      <c r="AI193" s="165">
        <v>71722</v>
      </c>
      <c r="AJ193" s="165">
        <v>18502</v>
      </c>
      <c r="AK193" s="165">
        <v>13706</v>
      </c>
      <c r="AL193" s="165">
        <f t="shared" si="146"/>
        <v>13706</v>
      </c>
      <c r="AM193" s="165">
        <v>-2449</v>
      </c>
      <c r="AN193" s="165">
        <v>-6890</v>
      </c>
      <c r="AO193" s="165">
        <v>-7969</v>
      </c>
      <c r="AP193" s="165">
        <v>44053</v>
      </c>
      <c r="AQ193" s="165">
        <f t="shared" si="147"/>
        <v>44053</v>
      </c>
      <c r="AS193" s="165">
        <v>-2449</v>
      </c>
      <c r="AT193" s="165">
        <v>-6890</v>
      </c>
      <c r="AU193" s="165">
        <v>-7969</v>
      </c>
      <c r="AV193" s="165"/>
      <c r="AW193" s="165">
        <v>44053</v>
      </c>
      <c r="AX193" s="165">
        <v>27246</v>
      </c>
      <c r="AY193" s="165">
        <v>-57827</v>
      </c>
      <c r="AZ193" s="165">
        <v>-58341</v>
      </c>
      <c r="BA193" s="165"/>
      <c r="BB193" s="165">
        <v>-58704</v>
      </c>
      <c r="BC193" s="165">
        <v>-1727</v>
      </c>
      <c r="BD193" s="168">
        <v>-107787</v>
      </c>
      <c r="BE193" s="168">
        <v>-107788</v>
      </c>
      <c r="BF193" s="168"/>
      <c r="BG193" s="168">
        <v>-107788</v>
      </c>
      <c r="BH193" s="168">
        <v>-3415</v>
      </c>
      <c r="BI193" s="168">
        <v>-3803</v>
      </c>
      <c r="BJ193" s="168">
        <v>-6481</v>
      </c>
      <c r="BK193" s="168"/>
      <c r="BL193" s="168">
        <v>-11034</v>
      </c>
      <c r="BM193" s="168">
        <v>-433</v>
      </c>
      <c r="BN193" s="168">
        <v>-70021</v>
      </c>
      <c r="BO193" s="168">
        <v>-70048</v>
      </c>
    </row>
    <row r="194" spans="1:67" x14ac:dyDescent="0.2">
      <c r="B194" s="219"/>
      <c r="D194" s="165"/>
      <c r="E194" s="165"/>
      <c r="F194" s="165"/>
      <c r="G194" s="165"/>
      <c r="H194" s="165"/>
      <c r="I194" s="165"/>
      <c r="J194" s="165"/>
      <c r="K194" s="165"/>
      <c r="L194" s="165"/>
      <c r="M194" s="165"/>
      <c r="N194" s="165"/>
      <c r="O194" s="165"/>
      <c r="P194" s="165"/>
      <c r="Q194" s="165"/>
      <c r="R194" s="165"/>
      <c r="S194" s="165"/>
      <c r="T194" s="165"/>
      <c r="U194" s="165"/>
      <c r="V194" s="165"/>
      <c r="W194" s="165"/>
      <c r="X194" s="165"/>
      <c r="Y194" s="165"/>
      <c r="Z194" s="165"/>
      <c r="AA194" s="165"/>
      <c r="AB194" s="165"/>
      <c r="AC194" s="165"/>
      <c r="AD194" s="165"/>
      <c r="AE194" s="165"/>
      <c r="AF194" s="165"/>
      <c r="AG194" s="165"/>
      <c r="AH194" s="165"/>
      <c r="AI194" s="165"/>
      <c r="AJ194" s="165"/>
      <c r="AK194" s="165"/>
      <c r="AL194" s="165"/>
      <c r="AM194" s="165"/>
      <c r="AN194" s="165"/>
      <c r="AO194" s="165"/>
      <c r="AP194" s="165"/>
      <c r="AQ194" s="165"/>
      <c r="AS194" s="165"/>
      <c r="AT194" s="165"/>
      <c r="AU194" s="165"/>
      <c r="AV194" s="165"/>
      <c r="AW194" s="165"/>
      <c r="AX194" s="165"/>
      <c r="AY194" s="165"/>
      <c r="AZ194" s="165"/>
      <c r="BA194" s="165"/>
      <c r="BB194" s="165"/>
      <c r="BC194" s="165"/>
      <c r="BD194" s="104"/>
      <c r="BE194" s="104"/>
      <c r="BF194" s="168"/>
      <c r="BG194" s="104"/>
      <c r="BL194" s="104"/>
    </row>
    <row r="195" spans="1:67" s="126" customFormat="1" x14ac:dyDescent="0.2">
      <c r="B195" s="126" t="s">
        <v>770</v>
      </c>
      <c r="C195" s="218" t="s">
        <v>687</v>
      </c>
      <c r="D195" s="210"/>
      <c r="E195" s="210"/>
      <c r="F195" s="210"/>
      <c r="G195" s="210"/>
      <c r="H195" s="210"/>
      <c r="I195" s="210">
        <v>-345437</v>
      </c>
      <c r="J195" s="210">
        <v>-91944</v>
      </c>
      <c r="K195" s="210">
        <v>500724</v>
      </c>
      <c r="L195" s="210">
        <v>1005196</v>
      </c>
      <c r="M195" s="210">
        <f t="shared" ref="M195:AQ195" si="148">SUM(M182:M193)</f>
        <v>1005196</v>
      </c>
      <c r="N195" s="210">
        <f t="shared" si="148"/>
        <v>120851</v>
      </c>
      <c r="O195" s="210">
        <f t="shared" si="148"/>
        <v>770786</v>
      </c>
      <c r="P195" s="210">
        <f t="shared" si="148"/>
        <v>982465</v>
      </c>
      <c r="Q195" s="210">
        <f t="shared" si="148"/>
        <v>1205795</v>
      </c>
      <c r="R195" s="210">
        <f t="shared" si="148"/>
        <v>1205795</v>
      </c>
      <c r="S195" s="210">
        <f t="shared" si="148"/>
        <v>-1050170</v>
      </c>
      <c r="T195" s="210">
        <f t="shared" si="148"/>
        <v>-1262839</v>
      </c>
      <c r="U195" s="210">
        <f t="shared" si="148"/>
        <v>-1473040</v>
      </c>
      <c r="V195" s="210">
        <f t="shared" si="148"/>
        <v>-1320226</v>
      </c>
      <c r="W195" s="210">
        <f t="shared" si="148"/>
        <v>-1320226</v>
      </c>
      <c r="X195" s="210">
        <f t="shared" si="148"/>
        <v>-139794</v>
      </c>
      <c r="Y195" s="210">
        <f t="shared" si="148"/>
        <v>-246311</v>
      </c>
      <c r="Z195" s="210">
        <f t="shared" si="148"/>
        <v>-211778</v>
      </c>
      <c r="AA195" s="210">
        <f t="shared" si="148"/>
        <v>-128360.08485097668</v>
      </c>
      <c r="AB195" s="210">
        <f t="shared" si="148"/>
        <v>-128360.08485097668</v>
      </c>
      <c r="AC195" s="210">
        <f t="shared" si="148"/>
        <v>61554</v>
      </c>
      <c r="AD195" s="210">
        <f t="shared" si="148"/>
        <v>-358990</v>
      </c>
      <c r="AE195" s="210">
        <f t="shared" si="148"/>
        <v>-329519.22539827833</v>
      </c>
      <c r="AF195" s="210">
        <f t="shared" si="148"/>
        <v>-396279</v>
      </c>
      <c r="AG195" s="210">
        <f t="shared" si="148"/>
        <v>-396279</v>
      </c>
      <c r="AH195" s="210">
        <f t="shared" si="148"/>
        <v>-218117</v>
      </c>
      <c r="AI195" s="210">
        <f t="shared" si="148"/>
        <v>-91236</v>
      </c>
      <c r="AJ195" s="210">
        <f t="shared" si="148"/>
        <v>-771603</v>
      </c>
      <c r="AK195" s="210">
        <f t="shared" si="148"/>
        <v>-1179088</v>
      </c>
      <c r="AL195" s="210">
        <f t="shared" si="148"/>
        <v>-1179088</v>
      </c>
      <c r="AM195" s="210">
        <f t="shared" si="148"/>
        <v>-372723</v>
      </c>
      <c r="AN195" s="210">
        <f t="shared" si="148"/>
        <v>-624733</v>
      </c>
      <c r="AO195" s="210">
        <f t="shared" si="148"/>
        <v>-625365</v>
      </c>
      <c r="AP195" s="210">
        <f t="shared" si="148"/>
        <v>-1052209</v>
      </c>
      <c r="AQ195" s="210">
        <f t="shared" si="148"/>
        <v>-1052209</v>
      </c>
      <c r="AS195" s="210">
        <f>SUM(AS182:AS193)</f>
        <v>-517288</v>
      </c>
      <c r="AT195" s="210">
        <f>SUM(AT182:AT193)</f>
        <v>-910388</v>
      </c>
      <c r="AU195" s="210">
        <f>SUM(AU182:AU193)</f>
        <v>-1045553</v>
      </c>
      <c r="AV195" s="210"/>
      <c r="AW195" s="210">
        <f>SUM(AW182:AW193)</f>
        <v>-1622725.2937301709</v>
      </c>
      <c r="AX195" s="210">
        <f>SUM(AX182:AX193)</f>
        <v>-169124</v>
      </c>
      <c r="AY195" s="210">
        <f>SUM(AY182:AY193)</f>
        <v>-88855</v>
      </c>
      <c r="AZ195" s="210">
        <f>SUM(AZ182:AZ193)</f>
        <v>-526622</v>
      </c>
      <c r="BA195" s="210"/>
      <c r="BB195" s="210">
        <f>SUM(BB182:BB193)</f>
        <v>-1343521</v>
      </c>
      <c r="BC195" s="210">
        <f>SUM(BC182:BC193)</f>
        <v>224558</v>
      </c>
      <c r="BD195" s="211">
        <f>SUM(BD182:BD193)</f>
        <v>94584</v>
      </c>
      <c r="BE195" s="211">
        <f>SUM(BE182:BE193)</f>
        <v>62841</v>
      </c>
      <c r="BF195" s="168"/>
      <c r="BG195" s="211">
        <f t="shared" ref="BG195:BJ195" si="149">SUM(BG182:BG193)</f>
        <v>1120829</v>
      </c>
      <c r="BH195" s="211">
        <f t="shared" si="149"/>
        <v>-124799</v>
      </c>
      <c r="BI195" s="211">
        <f t="shared" si="149"/>
        <v>312428</v>
      </c>
      <c r="BJ195" s="211">
        <f t="shared" si="149"/>
        <v>-35236.448863584752</v>
      </c>
      <c r="BK195" s="211"/>
      <c r="BL195" s="211">
        <f t="shared" ref="BL195:BO195" si="150">SUM(BL182:BL193)</f>
        <v>109642.427280879</v>
      </c>
      <c r="BM195" s="211">
        <f t="shared" si="150"/>
        <v>214788.76394652008</v>
      </c>
      <c r="BN195" s="211">
        <f t="shared" si="150"/>
        <v>90072</v>
      </c>
      <c r="BO195" s="211">
        <f t="shared" si="150"/>
        <v>-106180</v>
      </c>
    </row>
    <row r="196" spans="1:67" x14ac:dyDescent="0.2">
      <c r="B196" s="219"/>
      <c r="D196" s="165"/>
      <c r="E196" s="165"/>
      <c r="F196" s="165"/>
      <c r="G196" s="165"/>
      <c r="H196" s="165"/>
      <c r="I196" s="165"/>
      <c r="J196" s="165"/>
      <c r="K196" s="165"/>
      <c r="L196" s="165"/>
      <c r="M196" s="165"/>
      <c r="N196" s="165"/>
      <c r="O196" s="165"/>
      <c r="P196" s="165"/>
      <c r="Q196" s="165"/>
      <c r="R196" s="165"/>
      <c r="S196" s="165"/>
      <c r="T196" s="165"/>
      <c r="U196" s="165"/>
      <c r="V196" s="165"/>
      <c r="W196" s="165"/>
      <c r="X196" s="165"/>
      <c r="Y196" s="165"/>
      <c r="Z196" s="165"/>
      <c r="AA196" s="165"/>
      <c r="AB196" s="165"/>
      <c r="AC196" s="165"/>
      <c r="AD196" s="165"/>
      <c r="AE196" s="165"/>
      <c r="AF196" s="165"/>
      <c r="AG196" s="165"/>
      <c r="AH196" s="165"/>
      <c r="AI196" s="165"/>
      <c r="AJ196" s="165"/>
      <c r="AK196" s="165"/>
      <c r="AL196" s="165"/>
      <c r="AM196" s="165"/>
      <c r="AN196" s="165"/>
      <c r="AO196" s="165"/>
      <c r="AP196" s="165"/>
      <c r="AQ196" s="165"/>
      <c r="AS196" s="165"/>
      <c r="AT196" s="165"/>
      <c r="AU196" s="165"/>
      <c r="AV196" s="165"/>
      <c r="AW196" s="165"/>
      <c r="AX196" s="165"/>
      <c r="AY196" s="165"/>
      <c r="AZ196" s="165"/>
      <c r="BA196" s="165"/>
      <c r="BB196" s="165"/>
      <c r="BC196" s="165"/>
      <c r="BD196" s="104"/>
      <c r="BE196" s="104"/>
      <c r="BF196" s="104"/>
      <c r="BG196" s="104"/>
      <c r="BL196" s="104"/>
    </row>
    <row r="197" spans="1:67" ht="15" x14ac:dyDescent="0.2">
      <c r="B197" s="216" t="s">
        <v>771</v>
      </c>
      <c r="C197" s="105" t="s">
        <v>687</v>
      </c>
      <c r="D197" s="165"/>
      <c r="E197" s="165"/>
      <c r="F197" s="165"/>
      <c r="G197" s="165"/>
      <c r="H197" s="165"/>
      <c r="I197" s="165">
        <v>-197820</v>
      </c>
      <c r="J197" s="165">
        <v>83219</v>
      </c>
      <c r="K197" s="165">
        <v>190217</v>
      </c>
      <c r="L197" s="165">
        <v>282592</v>
      </c>
      <c r="M197" s="165">
        <f t="shared" ref="M197:AI197" si="151">M159+M179+M195</f>
        <v>282592</v>
      </c>
      <c r="N197" s="165">
        <f t="shared" si="151"/>
        <v>-178949</v>
      </c>
      <c r="O197" s="165">
        <f t="shared" si="151"/>
        <v>140792</v>
      </c>
      <c r="P197" s="165">
        <f t="shared" si="151"/>
        <v>353974</v>
      </c>
      <c r="Q197" s="165">
        <f t="shared" si="151"/>
        <v>1335681</v>
      </c>
      <c r="R197" s="165">
        <f t="shared" si="151"/>
        <v>1335681</v>
      </c>
      <c r="S197" s="165">
        <f t="shared" si="151"/>
        <v>-838648</v>
      </c>
      <c r="T197" s="165">
        <f t="shared" si="151"/>
        <v>-855094</v>
      </c>
      <c r="U197" s="165">
        <f t="shared" si="151"/>
        <v>-1150927</v>
      </c>
      <c r="V197" s="165">
        <f t="shared" si="151"/>
        <v>-887892</v>
      </c>
      <c r="W197" s="165">
        <f t="shared" si="151"/>
        <v>-887892</v>
      </c>
      <c r="X197" s="165">
        <f t="shared" si="151"/>
        <v>50146</v>
      </c>
      <c r="Y197" s="165">
        <f t="shared" si="151"/>
        <v>103398</v>
      </c>
      <c r="Z197" s="165">
        <f t="shared" si="151"/>
        <v>85427</v>
      </c>
      <c r="AA197" s="165">
        <f t="shared" si="151"/>
        <v>-151954.49546906605</v>
      </c>
      <c r="AB197" s="165">
        <f t="shared" si="151"/>
        <v>-151954.49546906605</v>
      </c>
      <c r="AC197" s="165">
        <f t="shared" si="151"/>
        <v>-66685</v>
      </c>
      <c r="AD197" s="165">
        <f t="shared" si="151"/>
        <v>-206543</v>
      </c>
      <c r="AE197" s="165">
        <f t="shared" si="151"/>
        <v>-102202.22539827798</v>
      </c>
      <c r="AF197" s="165">
        <f t="shared" si="151"/>
        <v>152816</v>
      </c>
      <c r="AG197" s="165">
        <f t="shared" si="151"/>
        <v>152816</v>
      </c>
      <c r="AH197" s="165">
        <f t="shared" si="151"/>
        <v>-107914</v>
      </c>
      <c r="AI197" s="165">
        <f t="shared" si="151"/>
        <v>216254</v>
      </c>
      <c r="AJ197" s="165">
        <v>-19400</v>
      </c>
      <c r="AK197" s="165">
        <f>AK159+AK179+AK195</f>
        <v>200230</v>
      </c>
      <c r="AL197" s="165">
        <f>AL159+AL179+AL195</f>
        <v>200230</v>
      </c>
      <c r="AM197" s="165">
        <f>AM159+AM179+AM195</f>
        <v>-302846</v>
      </c>
      <c r="AN197" s="165">
        <f>AN159+AN179+AN195</f>
        <v>-212170</v>
      </c>
      <c r="AO197" s="165">
        <f>AO159+AO179+AO195</f>
        <v>-316255</v>
      </c>
      <c r="AP197" s="165">
        <v>106351</v>
      </c>
      <c r="AQ197" s="165">
        <f>AQ159+AQ179+AQ195</f>
        <v>106351</v>
      </c>
      <c r="AS197" s="165">
        <f>AS159+AS179+AS195</f>
        <v>-302846</v>
      </c>
      <c r="AT197" s="165">
        <v>-212170</v>
      </c>
      <c r="AU197" s="165">
        <v>-316255</v>
      </c>
      <c r="AV197" s="165"/>
      <c r="AW197" s="165">
        <f>AW159+AW179+AW195</f>
        <v>106351.00000000047</v>
      </c>
      <c r="AX197" s="165">
        <f>AX159+AX179+AX195</f>
        <v>-231101</v>
      </c>
      <c r="AY197" s="165">
        <v>38514</v>
      </c>
      <c r="AZ197" s="165">
        <v>45218</v>
      </c>
      <c r="BA197" s="165"/>
      <c r="BB197" s="165">
        <v>63939</v>
      </c>
      <c r="BC197" s="165">
        <v>498091</v>
      </c>
      <c r="BD197" s="168">
        <v>322708</v>
      </c>
      <c r="BE197" s="168">
        <v>-178748</v>
      </c>
      <c r="BF197" s="211"/>
      <c r="BG197" s="168">
        <v>659740</v>
      </c>
      <c r="BH197" s="168">
        <v>-353234</v>
      </c>
      <c r="BI197" s="168">
        <v>-157848</v>
      </c>
      <c r="BJ197" s="168">
        <v>-747762.44886358478</v>
      </c>
      <c r="BK197" s="168"/>
      <c r="BL197" s="168">
        <v>-617109.572719121</v>
      </c>
      <c r="BM197" s="168">
        <v>113645.76394652008</v>
      </c>
      <c r="BN197" s="168">
        <v>107278</v>
      </c>
      <c r="BO197" s="168">
        <v>-110500</v>
      </c>
    </row>
    <row r="198" spans="1:67" ht="15" x14ac:dyDescent="0.2">
      <c r="B198" s="216" t="s">
        <v>772</v>
      </c>
      <c r="C198" s="105" t="s">
        <v>687</v>
      </c>
      <c r="D198" s="165"/>
      <c r="E198" s="165"/>
      <c r="F198" s="165"/>
      <c r="G198" s="165"/>
      <c r="H198" s="165"/>
      <c r="I198" s="165">
        <v>-18</v>
      </c>
      <c r="J198" s="165">
        <v>-79</v>
      </c>
      <c r="K198" s="165">
        <v>-39545</v>
      </c>
      <c r="L198" s="165">
        <v>-6736</v>
      </c>
      <c r="M198" s="165">
        <v>-6736</v>
      </c>
      <c r="N198" s="165">
        <v>-14604</v>
      </c>
      <c r="O198" s="165">
        <v>-126</v>
      </c>
      <c r="P198" s="165">
        <v>19959</v>
      </c>
      <c r="Q198" s="165">
        <v>-1041</v>
      </c>
      <c r="R198" s="165">
        <v>-1041</v>
      </c>
      <c r="S198" s="165">
        <v>15084</v>
      </c>
      <c r="T198" s="165">
        <v>-24020</v>
      </c>
      <c r="U198" s="165">
        <v>-83667</v>
      </c>
      <c r="V198" s="165">
        <v>-107615</v>
      </c>
      <c r="W198" s="165">
        <v>-107615</v>
      </c>
      <c r="X198" s="165">
        <v>-80382</v>
      </c>
      <c r="Y198" s="165">
        <v>-18823</v>
      </c>
      <c r="Z198" s="165">
        <v>-51897</v>
      </c>
      <c r="AA198" s="165">
        <v>-83945.018336257694</v>
      </c>
      <c r="AB198" s="165">
        <v>-83945.018336257694</v>
      </c>
      <c r="AC198" s="165">
        <v>81188</v>
      </c>
      <c r="AD198" s="165">
        <v>90443</v>
      </c>
      <c r="AE198" s="165">
        <v>57081.359939076421</v>
      </c>
      <c r="AF198" s="165">
        <v>43014</v>
      </c>
      <c r="AG198" s="165">
        <f>AF198</f>
        <v>43014</v>
      </c>
      <c r="AH198" s="165">
        <v>11739</v>
      </c>
      <c r="AI198" s="165">
        <v>-15028</v>
      </c>
      <c r="AJ198" s="165">
        <v>9924</v>
      </c>
      <c r="AK198" s="165">
        <v>-7553</v>
      </c>
      <c r="AL198" s="165">
        <f>AK198</f>
        <v>-7553</v>
      </c>
      <c r="AM198" s="165">
        <v>-24928</v>
      </c>
      <c r="AN198" s="165">
        <v>-155945</v>
      </c>
      <c r="AO198" s="165">
        <v>-139309</v>
      </c>
      <c r="AP198" s="165">
        <v>-166713</v>
      </c>
      <c r="AQ198" s="165">
        <f>AP198</f>
        <v>-166713</v>
      </c>
      <c r="AS198" s="165">
        <v>-24928</v>
      </c>
      <c r="AT198" s="165">
        <v>-155945</v>
      </c>
      <c r="AU198" s="165">
        <v>-139310</v>
      </c>
      <c r="AV198" s="165"/>
      <c r="AW198" s="165">
        <v>-166713</v>
      </c>
      <c r="AX198" s="165">
        <v>-15803</v>
      </c>
      <c r="AY198" s="165">
        <v>-58808</v>
      </c>
      <c r="AZ198" s="165">
        <v>-179418</v>
      </c>
      <c r="BA198" s="165"/>
      <c r="BB198" s="165">
        <v>-73002</v>
      </c>
      <c r="BC198" s="165">
        <v>-59872</v>
      </c>
      <c r="BD198" s="168">
        <v>-61145</v>
      </c>
      <c r="BE198" s="168">
        <v>-40363</v>
      </c>
      <c r="BF198" s="168"/>
      <c r="BG198" s="168">
        <v>-36478</v>
      </c>
      <c r="BH198" s="168">
        <v>-12175</v>
      </c>
      <c r="BI198" s="168">
        <v>-3027</v>
      </c>
      <c r="BJ198" s="168">
        <v>-17898</v>
      </c>
      <c r="BK198" s="168"/>
      <c r="BL198" s="168">
        <v>-31896</v>
      </c>
      <c r="BM198" s="168">
        <v>18427</v>
      </c>
      <c r="BN198" s="168">
        <v>-20763</v>
      </c>
      <c r="BO198" s="168">
        <v>-39152</v>
      </c>
    </row>
    <row r="199" spans="1:67" ht="15" x14ac:dyDescent="0.2">
      <c r="B199" s="216" t="s">
        <v>773</v>
      </c>
      <c r="C199" s="105" t="s">
        <v>687</v>
      </c>
      <c r="D199" s="165"/>
      <c r="E199" s="165"/>
      <c r="F199" s="165"/>
      <c r="G199" s="165"/>
      <c r="H199" s="165"/>
      <c r="I199" s="165">
        <v>-197838</v>
      </c>
      <c r="J199" s="165">
        <v>83140</v>
      </c>
      <c r="K199" s="165">
        <v>150672</v>
      </c>
      <c r="L199" s="201">
        <v>275856</v>
      </c>
      <c r="M199" s="201">
        <f t="shared" ref="M199:AL199" si="152">M197+M198</f>
        <v>275856</v>
      </c>
      <c r="N199" s="165">
        <f t="shared" si="152"/>
        <v>-193553</v>
      </c>
      <c r="O199" s="165">
        <f t="shared" si="152"/>
        <v>140666</v>
      </c>
      <c r="P199" s="165">
        <f t="shared" si="152"/>
        <v>373933</v>
      </c>
      <c r="Q199" s="165">
        <f t="shared" si="152"/>
        <v>1334640</v>
      </c>
      <c r="R199" s="165">
        <f t="shared" si="152"/>
        <v>1334640</v>
      </c>
      <c r="S199" s="165">
        <f t="shared" si="152"/>
        <v>-823564</v>
      </c>
      <c r="T199" s="165">
        <f t="shared" si="152"/>
        <v>-879114</v>
      </c>
      <c r="U199" s="165">
        <f t="shared" si="152"/>
        <v>-1234594</v>
      </c>
      <c r="V199" s="165">
        <f t="shared" si="152"/>
        <v>-995507</v>
      </c>
      <c r="W199" s="165">
        <f t="shared" si="152"/>
        <v>-995507</v>
      </c>
      <c r="X199" s="165">
        <f t="shared" si="152"/>
        <v>-30236</v>
      </c>
      <c r="Y199" s="165">
        <f t="shared" si="152"/>
        <v>84575</v>
      </c>
      <c r="Z199" s="165">
        <f t="shared" si="152"/>
        <v>33530</v>
      </c>
      <c r="AA199" s="165">
        <f t="shared" si="152"/>
        <v>-235899.51380532375</v>
      </c>
      <c r="AB199" s="165">
        <f t="shared" si="152"/>
        <v>-235899.51380532375</v>
      </c>
      <c r="AC199" s="165">
        <f t="shared" si="152"/>
        <v>14503</v>
      </c>
      <c r="AD199" s="165">
        <f t="shared" si="152"/>
        <v>-116100</v>
      </c>
      <c r="AE199" s="165">
        <f t="shared" si="152"/>
        <v>-45120.865459201559</v>
      </c>
      <c r="AF199" s="165">
        <f t="shared" si="152"/>
        <v>195830</v>
      </c>
      <c r="AG199" s="165">
        <f t="shared" si="152"/>
        <v>195830</v>
      </c>
      <c r="AH199" s="165">
        <f t="shared" si="152"/>
        <v>-96175</v>
      </c>
      <c r="AI199" s="165">
        <f t="shared" si="152"/>
        <v>201226</v>
      </c>
      <c r="AJ199" s="165">
        <f t="shared" si="152"/>
        <v>-9476</v>
      </c>
      <c r="AK199" s="165">
        <f t="shared" si="152"/>
        <v>192677</v>
      </c>
      <c r="AL199" s="165">
        <f t="shared" si="152"/>
        <v>192677</v>
      </c>
      <c r="AM199" s="165">
        <f t="shared" ref="AM199:AO199" si="153">AM198+AM197</f>
        <v>-327774</v>
      </c>
      <c r="AN199" s="165">
        <f t="shared" si="153"/>
        <v>-368115</v>
      </c>
      <c r="AO199" s="165">
        <f t="shared" si="153"/>
        <v>-455564</v>
      </c>
      <c r="AP199" s="165">
        <v>-60362</v>
      </c>
      <c r="AQ199" s="165">
        <f t="shared" ref="AQ199" si="154">AQ197+AQ198</f>
        <v>-60362</v>
      </c>
      <c r="AS199" s="165">
        <f t="shared" ref="AS199" si="155">AS198+AS197</f>
        <v>-327774</v>
      </c>
      <c r="AT199" s="165">
        <v>-368115</v>
      </c>
      <c r="AU199" s="165">
        <v>-455565</v>
      </c>
      <c r="AV199" s="165"/>
      <c r="AW199" s="165">
        <f>+AW197+AW198</f>
        <v>-60361.999999999534</v>
      </c>
      <c r="AX199" s="165">
        <f t="shared" ref="AX199" si="156">AX198+AX197</f>
        <v>-246904</v>
      </c>
      <c r="AY199" s="165">
        <v>-20294</v>
      </c>
      <c r="AZ199" s="165">
        <v>-134200</v>
      </c>
      <c r="BA199" s="165"/>
      <c r="BB199" s="165">
        <v>-9063</v>
      </c>
      <c r="BC199" s="165">
        <v>438219</v>
      </c>
      <c r="BD199" s="168">
        <v>261563</v>
      </c>
      <c r="BE199" s="168">
        <v>-219111</v>
      </c>
      <c r="BF199" s="168"/>
      <c r="BG199" s="168">
        <v>623262</v>
      </c>
      <c r="BH199" s="168">
        <f>SUM(BH197:BH198)</f>
        <v>-365409</v>
      </c>
      <c r="BI199" s="168">
        <v>-160875</v>
      </c>
      <c r="BJ199" s="168">
        <v>-765660.44886358478</v>
      </c>
      <c r="BK199" s="168"/>
      <c r="BL199" s="168">
        <v>-649005.572719121</v>
      </c>
      <c r="BM199" s="168">
        <v>132072.76394652008</v>
      </c>
      <c r="BN199" s="168">
        <f>SUM(BN197:BN198)</f>
        <v>86515</v>
      </c>
      <c r="BO199" s="168">
        <f>SUM(BO197:BO198)</f>
        <v>-149652</v>
      </c>
    </row>
    <row r="200" spans="1:67" x14ac:dyDescent="0.2">
      <c r="B200" s="217"/>
      <c r="D200" s="165"/>
      <c r="E200" s="165"/>
      <c r="F200" s="165"/>
      <c r="G200" s="165"/>
      <c r="H200" s="165"/>
      <c r="I200" s="165"/>
      <c r="J200" s="165"/>
      <c r="K200" s="165"/>
      <c r="L200" s="165"/>
      <c r="M200" s="165"/>
      <c r="N200" s="165"/>
      <c r="O200" s="165"/>
      <c r="P200" s="165"/>
      <c r="Q200" s="165"/>
      <c r="R200" s="165"/>
      <c r="S200" s="165"/>
      <c r="T200" s="165"/>
      <c r="U200" s="165"/>
      <c r="V200" s="165"/>
      <c r="W200" s="165"/>
      <c r="X200" s="165"/>
      <c r="Y200" s="165"/>
      <c r="Z200" s="165"/>
      <c r="AA200" s="165"/>
      <c r="AB200" s="165"/>
      <c r="AC200" s="165"/>
      <c r="AD200" s="165"/>
      <c r="AE200" s="165"/>
      <c r="AF200" s="165"/>
      <c r="AG200" s="165"/>
      <c r="AH200" s="165"/>
      <c r="AI200" s="165"/>
      <c r="AJ200" s="165"/>
      <c r="AK200" s="165"/>
      <c r="AL200" s="165"/>
      <c r="AM200" s="165"/>
      <c r="AN200" s="165"/>
      <c r="AO200" s="165"/>
      <c r="AP200" s="165"/>
      <c r="AQ200" s="165"/>
      <c r="AS200" s="165"/>
      <c r="AT200" s="165"/>
      <c r="AU200" s="165"/>
      <c r="AV200" s="165"/>
      <c r="AW200" s="165"/>
      <c r="AX200" s="165"/>
      <c r="AY200" s="165"/>
      <c r="AZ200" s="165"/>
      <c r="BA200" s="165"/>
      <c r="BB200" s="165"/>
      <c r="BC200" s="165"/>
      <c r="BD200" s="168"/>
      <c r="BE200" s="168"/>
      <c r="BF200" s="168"/>
      <c r="BG200" s="168"/>
      <c r="BH200" s="165"/>
      <c r="BI200" s="165"/>
      <c r="BJ200" s="165"/>
      <c r="BK200" s="165"/>
      <c r="BL200" s="168"/>
      <c r="BM200" s="165"/>
      <c r="BN200" s="165"/>
      <c r="BO200" s="165"/>
    </row>
    <row r="201" spans="1:67" s="126" customFormat="1" x14ac:dyDescent="0.2">
      <c r="A201" s="126" t="s">
        <v>774</v>
      </c>
      <c r="C201" s="218" t="s">
        <v>687</v>
      </c>
      <c r="D201" s="210"/>
      <c r="E201" s="210"/>
      <c r="F201" s="210"/>
      <c r="G201" s="210"/>
      <c r="H201" s="210"/>
      <c r="I201" s="210">
        <v>374407</v>
      </c>
      <c r="J201" s="210">
        <v>374407</v>
      </c>
      <c r="K201" s="210">
        <v>374407</v>
      </c>
      <c r="L201" s="210">
        <v>374407</v>
      </c>
      <c r="M201" s="210">
        <v>374407</v>
      </c>
      <c r="N201" s="210">
        <v>650263</v>
      </c>
      <c r="O201" s="210">
        <v>650263</v>
      </c>
      <c r="P201" s="210">
        <v>650263</v>
      </c>
      <c r="Q201" s="210">
        <v>650263</v>
      </c>
      <c r="R201" s="210">
        <v>650263</v>
      </c>
      <c r="S201" s="210">
        <v>1984903</v>
      </c>
      <c r="T201" s="210">
        <v>1984903</v>
      </c>
      <c r="U201" s="210">
        <v>1984903</v>
      </c>
      <c r="V201" s="210">
        <v>1984903</v>
      </c>
      <c r="W201" s="210">
        <v>1984903</v>
      </c>
      <c r="X201" s="210">
        <v>989396</v>
      </c>
      <c r="Y201" s="210">
        <v>989396</v>
      </c>
      <c r="Z201" s="210">
        <v>989396</v>
      </c>
      <c r="AA201" s="210">
        <v>989396</v>
      </c>
      <c r="AB201" s="210">
        <v>989396</v>
      </c>
      <c r="AC201" s="210">
        <v>753497</v>
      </c>
      <c r="AD201" s="210">
        <v>753497</v>
      </c>
      <c r="AE201" s="210">
        <v>753497</v>
      </c>
      <c r="AF201" s="210">
        <v>753497</v>
      </c>
      <c r="AG201" s="210">
        <f>AF201</f>
        <v>753497</v>
      </c>
      <c r="AH201" s="210">
        <f>AG203</f>
        <v>949327</v>
      </c>
      <c r="AI201" s="210">
        <f>AH201</f>
        <v>949327</v>
      </c>
      <c r="AJ201" s="210">
        <f>AI201</f>
        <v>949327</v>
      </c>
      <c r="AK201" s="210">
        <f t="shared" ref="AK201:AL201" si="157">AF203</f>
        <v>949327</v>
      </c>
      <c r="AL201" s="210">
        <f t="shared" si="157"/>
        <v>949327</v>
      </c>
      <c r="AM201" s="210">
        <f>$AL$203</f>
        <v>1142004</v>
      </c>
      <c r="AN201" s="210">
        <f>$AL$203</f>
        <v>1142004</v>
      </c>
      <c r="AO201" s="210">
        <f>$AL$203</f>
        <v>1142004</v>
      </c>
      <c r="AP201" s="210">
        <f>$AL$203</f>
        <v>1142004</v>
      </c>
      <c r="AQ201" s="210">
        <f t="shared" ref="AQ201" si="158">AL203</f>
        <v>1142004</v>
      </c>
      <c r="AS201" s="210">
        <f>$AL$203</f>
        <v>1142004</v>
      </c>
      <c r="AT201" s="210">
        <f>$AL$203</f>
        <v>1142004</v>
      </c>
      <c r="AU201" s="210">
        <f>$AL$203</f>
        <v>1142004</v>
      </c>
      <c r="AV201" s="210"/>
      <c r="AW201" s="210">
        <v>1142004</v>
      </c>
      <c r="AX201" s="210">
        <f>$AQ$203</f>
        <v>1081642</v>
      </c>
      <c r="AY201" s="210">
        <f>$AQ$203</f>
        <v>1081642</v>
      </c>
      <c r="AZ201" s="210">
        <f>$AQ$203</f>
        <v>1081642</v>
      </c>
      <c r="BA201" s="210"/>
      <c r="BB201" s="210">
        <f>$AQ$203</f>
        <v>1081642</v>
      </c>
      <c r="BC201" s="210">
        <v>1072579</v>
      </c>
      <c r="BD201" s="210">
        <f>BD199+BD197</f>
        <v>584271</v>
      </c>
      <c r="BE201" s="210">
        <f>BE199+BE197</f>
        <v>-397859</v>
      </c>
      <c r="BF201" s="168"/>
      <c r="BG201" s="211">
        <f>BB203</f>
        <v>1072579</v>
      </c>
      <c r="BH201" s="210">
        <v>1695841</v>
      </c>
      <c r="BI201" s="210">
        <v>1695841</v>
      </c>
      <c r="BJ201" s="210">
        <v>1695841</v>
      </c>
      <c r="BK201" s="210"/>
      <c r="BL201" s="211">
        <f>BG203</f>
        <v>1695841</v>
      </c>
      <c r="BM201" s="210">
        <v>1046835.427280879</v>
      </c>
      <c r="BN201" s="210">
        <v>1046835.427280879</v>
      </c>
      <c r="BO201" s="210">
        <v>1046835.427280879</v>
      </c>
    </row>
    <row r="202" spans="1:67" x14ac:dyDescent="0.2">
      <c r="A202" s="223"/>
      <c r="D202" s="165"/>
      <c r="E202" s="165"/>
      <c r="F202" s="165"/>
      <c r="G202" s="165"/>
      <c r="H202" s="165"/>
      <c r="I202" s="165"/>
      <c r="J202" s="165"/>
      <c r="K202" s="165"/>
      <c r="L202" s="165"/>
      <c r="M202" s="165"/>
      <c r="N202" s="165"/>
      <c r="O202" s="165"/>
      <c r="P202" s="165"/>
      <c r="Q202" s="165"/>
      <c r="R202" s="165"/>
      <c r="S202" s="165"/>
      <c r="T202" s="165"/>
      <c r="U202" s="165"/>
      <c r="V202" s="165"/>
      <c r="W202" s="165"/>
      <c r="X202" s="165"/>
      <c r="Y202" s="165"/>
      <c r="Z202" s="165"/>
      <c r="AA202" s="165"/>
      <c r="AB202" s="165"/>
      <c r="AC202" s="165"/>
      <c r="AD202" s="165"/>
      <c r="AE202" s="165"/>
      <c r="AF202" s="165"/>
      <c r="AG202" s="165"/>
      <c r="AH202" s="165"/>
      <c r="AI202" s="165"/>
      <c r="AJ202" s="165"/>
      <c r="AK202" s="165"/>
      <c r="AL202" s="165"/>
      <c r="AM202" s="165"/>
      <c r="AN202" s="165"/>
      <c r="AO202" s="165"/>
      <c r="AP202" s="165"/>
      <c r="AQ202" s="165"/>
      <c r="AS202" s="165"/>
      <c r="AT202" s="165"/>
      <c r="AU202" s="165"/>
      <c r="AV202" s="165"/>
      <c r="AW202" s="165"/>
      <c r="AX202" s="165"/>
      <c r="AY202" s="165"/>
      <c r="AZ202" s="165"/>
      <c r="BA202" s="165"/>
      <c r="BB202" s="165"/>
      <c r="BC202" s="165"/>
      <c r="BD202" s="168"/>
      <c r="BE202" s="168"/>
      <c r="BF202" s="168"/>
      <c r="BG202" s="168"/>
      <c r="BH202" s="165"/>
      <c r="BI202" s="165"/>
      <c r="BJ202" s="165"/>
      <c r="BK202" s="165"/>
      <c r="BL202" s="168"/>
      <c r="BM202" s="165"/>
      <c r="BN202" s="165"/>
      <c r="BO202" s="165"/>
    </row>
    <row r="203" spans="1:67" x14ac:dyDescent="0.2">
      <c r="A203" s="126" t="s">
        <v>775</v>
      </c>
      <c r="C203" s="105" t="s">
        <v>687</v>
      </c>
      <c r="D203" s="210"/>
      <c r="E203" s="210"/>
      <c r="F203" s="210"/>
      <c r="G203" s="210"/>
      <c r="H203" s="210"/>
      <c r="I203" s="210">
        <v>176569</v>
      </c>
      <c r="J203" s="210">
        <v>457547</v>
      </c>
      <c r="K203" s="210">
        <v>525079</v>
      </c>
      <c r="L203" s="210">
        <v>650263</v>
      </c>
      <c r="M203" s="210">
        <v>650263</v>
      </c>
      <c r="N203" s="210">
        <v>456710</v>
      </c>
      <c r="O203" s="210">
        <v>790929</v>
      </c>
      <c r="P203" s="210">
        <v>1024196</v>
      </c>
      <c r="Q203" s="210">
        <v>1984903</v>
      </c>
      <c r="R203" s="210">
        <v>1984903</v>
      </c>
      <c r="S203" s="210">
        <v>1161339</v>
      </c>
      <c r="T203" s="210">
        <v>1105789</v>
      </c>
      <c r="U203" s="210">
        <v>750309</v>
      </c>
      <c r="V203" s="210">
        <v>989396</v>
      </c>
      <c r="W203" s="210">
        <v>989396</v>
      </c>
      <c r="X203" s="210">
        <v>959160</v>
      </c>
      <c r="Y203" s="210">
        <v>1073971</v>
      </c>
      <c r="Z203" s="210">
        <v>1022926</v>
      </c>
      <c r="AA203" s="210">
        <v>753497.48619467625</v>
      </c>
      <c r="AB203" s="210">
        <v>753497.48619467625</v>
      </c>
      <c r="AC203" s="210">
        <v>768000</v>
      </c>
      <c r="AD203" s="210">
        <v>637397</v>
      </c>
      <c r="AE203" s="210">
        <v>708375.81490533298</v>
      </c>
      <c r="AF203" s="210">
        <v>949327</v>
      </c>
      <c r="AG203" s="210">
        <f>AF203</f>
        <v>949327</v>
      </c>
      <c r="AH203" s="210">
        <f t="shared" ref="AH203:AQ203" si="159">AH201+AH199</f>
        <v>853152</v>
      </c>
      <c r="AI203" s="210">
        <f t="shared" si="159"/>
        <v>1150553</v>
      </c>
      <c r="AJ203" s="210">
        <f t="shared" si="159"/>
        <v>939851</v>
      </c>
      <c r="AK203" s="210">
        <f t="shared" si="159"/>
        <v>1142004</v>
      </c>
      <c r="AL203" s="210">
        <f t="shared" si="159"/>
        <v>1142004</v>
      </c>
      <c r="AM203" s="210">
        <f t="shared" si="159"/>
        <v>814230</v>
      </c>
      <c r="AN203" s="210">
        <f t="shared" si="159"/>
        <v>773889</v>
      </c>
      <c r="AO203" s="210">
        <f t="shared" si="159"/>
        <v>686440</v>
      </c>
      <c r="AP203" s="210">
        <f t="shared" si="159"/>
        <v>1081642</v>
      </c>
      <c r="AQ203" s="210">
        <f t="shared" si="159"/>
        <v>1081642</v>
      </c>
      <c r="AS203" s="210">
        <f t="shared" ref="AS203:AU203" si="160">AS201+AS199</f>
        <v>814230</v>
      </c>
      <c r="AT203" s="210">
        <f t="shared" si="160"/>
        <v>773889</v>
      </c>
      <c r="AU203" s="210">
        <f t="shared" si="160"/>
        <v>686439</v>
      </c>
      <c r="AV203" s="210"/>
      <c r="AW203" s="210">
        <f>AW201+AW199</f>
        <v>1081642.0000000005</v>
      </c>
      <c r="AX203" s="210">
        <f t="shared" ref="AX203:AZ203" si="161">AX201+AX199</f>
        <v>834738</v>
      </c>
      <c r="AY203" s="210">
        <f t="shared" si="161"/>
        <v>1061348</v>
      </c>
      <c r="AZ203" s="210">
        <f t="shared" si="161"/>
        <v>947442</v>
      </c>
      <c r="BA203" s="210"/>
      <c r="BB203" s="210">
        <f t="shared" ref="BB203:BC203" si="162">BB201+BB199</f>
        <v>1072579</v>
      </c>
      <c r="BC203" s="210">
        <f t="shared" si="162"/>
        <v>1510798</v>
      </c>
      <c r="BD203" s="211">
        <v>1334142</v>
      </c>
      <c r="BE203" s="211">
        <v>853468</v>
      </c>
      <c r="BF203" s="211"/>
      <c r="BG203" s="211">
        <f>BG201+BG199</f>
        <v>1695841</v>
      </c>
      <c r="BH203" s="210">
        <f t="shared" ref="BH203:BJ203" si="163">BH201+BH199</f>
        <v>1330432</v>
      </c>
      <c r="BI203" s="210">
        <f t="shared" si="163"/>
        <v>1534966</v>
      </c>
      <c r="BJ203" s="210">
        <f t="shared" si="163"/>
        <v>930180.55113641522</v>
      </c>
      <c r="BK203" s="210"/>
      <c r="BL203" s="211">
        <f>BL201+BL199</f>
        <v>1046835.427280879</v>
      </c>
      <c r="BM203" s="210">
        <f t="shared" ref="BM203:BO203" si="164">BM201+BM199</f>
        <v>1178908.191227399</v>
      </c>
      <c r="BN203" s="210">
        <f t="shared" si="164"/>
        <v>1133350.4272808791</v>
      </c>
      <c r="BO203" s="210">
        <f t="shared" si="164"/>
        <v>897183.427280879</v>
      </c>
    </row>
    <row r="205" spans="1:67" ht="53.25" customHeight="1" x14ac:dyDescent="0.2">
      <c r="M205" s="165"/>
      <c r="BC205" s="165"/>
      <c r="BD205" s="104"/>
      <c r="BE205" s="104"/>
      <c r="BF205" s="168"/>
      <c r="BG205" s="104"/>
      <c r="BH205" s="165"/>
      <c r="BI205" s="165"/>
      <c r="BJ205" s="165"/>
      <c r="BK205" s="165"/>
      <c r="BL205" s="104"/>
      <c r="BM205" s="165"/>
      <c r="BN205" s="165"/>
      <c r="BO205" s="165"/>
    </row>
    <row r="206" spans="1:67" x14ac:dyDescent="0.2">
      <c r="N206" s="104">
        <f t="shared" ref="N206:AQ206" si="165">ABS(N170/M114)</f>
        <v>3.1661352903970465E-2</v>
      </c>
      <c r="O206" s="104">
        <f t="shared" si="165"/>
        <v>7.5619168518882854E-2</v>
      </c>
      <c r="P206" s="104">
        <f t="shared" si="165"/>
        <v>0.10871005396741278</v>
      </c>
      <c r="Q206" s="104">
        <f t="shared" si="165"/>
        <v>0.12290793988177129</v>
      </c>
      <c r="R206" s="104">
        <f t="shared" si="165"/>
        <v>0.12581379624441374</v>
      </c>
      <c r="S206" s="104">
        <f t="shared" si="165"/>
        <v>1.7748319961802043E-2</v>
      </c>
      <c r="T206" s="104">
        <f t="shared" si="165"/>
        <v>5.059333897240318E-2</v>
      </c>
      <c r="U206" s="104">
        <f t="shared" si="165"/>
        <v>8.3270025020444449E-2</v>
      </c>
      <c r="V206" s="104">
        <f t="shared" si="165"/>
        <v>3.2087841507990142E-2</v>
      </c>
      <c r="W206" s="104">
        <f t="shared" si="165"/>
        <v>4.4059468252150083E-2</v>
      </c>
      <c r="X206" s="104">
        <f t="shared" si="165"/>
        <v>2.7569470409379827E-2</v>
      </c>
      <c r="Y206" s="104">
        <f t="shared" si="165"/>
        <v>4.6083648059825857E-2</v>
      </c>
      <c r="Z206" s="104">
        <f t="shared" si="165"/>
        <v>8.3031607413615663E-2</v>
      </c>
      <c r="AA206" s="104">
        <f t="shared" si="165"/>
        <v>0.14867852895939165</v>
      </c>
      <c r="AB206" s="104">
        <f t="shared" si="165"/>
        <v>0.14350476439096194</v>
      </c>
      <c r="AC206" s="104">
        <f t="shared" si="165"/>
        <v>2.6518977603923407E-2</v>
      </c>
      <c r="AD206" s="104">
        <f t="shared" si="165"/>
        <v>3.6860712617055723E-2</v>
      </c>
      <c r="AE206" s="104">
        <f t="shared" si="165"/>
        <v>4.7508317188176601E-2</v>
      </c>
      <c r="AF206" s="104">
        <f t="shared" si="165"/>
        <v>6.3706112766526282E-2</v>
      </c>
      <c r="AG206" s="104">
        <f t="shared" si="165"/>
        <v>6.6142136104183694E-2</v>
      </c>
      <c r="AH206" s="104">
        <f t="shared" si="165"/>
        <v>6.3951273695962976E-3</v>
      </c>
      <c r="AI206" s="104">
        <f t="shared" si="165"/>
        <v>1.8243189769495152E-2</v>
      </c>
      <c r="AJ206" s="104">
        <f t="shared" si="165"/>
        <v>2.4010740718267545E-2</v>
      </c>
      <c r="AK206" s="104">
        <f t="shared" si="165"/>
        <v>3.9653004530469667E-2</v>
      </c>
      <c r="AL206" s="104">
        <f t="shared" si="165"/>
        <v>4.010457674781813E-2</v>
      </c>
      <c r="AM206" s="104">
        <f t="shared" si="165"/>
        <v>1.7740691194083457E-2</v>
      </c>
      <c r="AN206" s="104">
        <f t="shared" si="165"/>
        <v>2.7582876323789505E-2</v>
      </c>
      <c r="AO206" s="104">
        <f t="shared" si="165"/>
        <v>5.0798680522228384E-2</v>
      </c>
      <c r="AP206" s="104">
        <f t="shared" si="165"/>
        <v>6.6724270905950886E-2</v>
      </c>
      <c r="AQ206" s="104">
        <f t="shared" si="165"/>
        <v>6.6380264362856184E-2</v>
      </c>
      <c r="AW206" s="104">
        <f t="shared" ref="AW206:BO206" si="166">ABS(AW170/AV114)</f>
        <v>5.2848911705497978E-2</v>
      </c>
      <c r="AX206" s="104">
        <f t="shared" si="166"/>
        <v>1.4543975195909649E-2</v>
      </c>
      <c r="AY206" s="104">
        <f t="shared" si="166"/>
        <v>3.2355019696788827E-2</v>
      </c>
      <c r="AZ206" s="104">
        <f t="shared" si="166"/>
        <v>4.6753840556502418E-2</v>
      </c>
      <c r="BA206" s="104">
        <f t="shared" si="166"/>
        <v>0</v>
      </c>
      <c r="BB206" s="104">
        <f t="shared" si="166"/>
        <v>9.8812596471505587E-2</v>
      </c>
      <c r="BC206" s="104">
        <f t="shared" si="166"/>
        <v>1.0428326905640708E-2</v>
      </c>
      <c r="BD206" s="104">
        <f t="shared" si="166"/>
        <v>5.1543450165735753E-3</v>
      </c>
      <c r="BE206" s="104">
        <f t="shared" si="166"/>
        <v>6.3893603444163359E-3</v>
      </c>
      <c r="BF206" s="104">
        <f t="shared" si="166"/>
        <v>0</v>
      </c>
      <c r="BG206" s="104">
        <f t="shared" si="166"/>
        <v>3.0219559267339897E-2</v>
      </c>
      <c r="BH206" s="104">
        <f t="shared" si="166"/>
        <v>2.357443229056047E-3</v>
      </c>
      <c r="BI206" s="104">
        <f t="shared" si="166"/>
        <v>8.0307206628731139E-3</v>
      </c>
      <c r="BJ206" s="104">
        <f t="shared" si="166"/>
        <v>3.7322370203739991E-2</v>
      </c>
      <c r="BK206" s="104">
        <f t="shared" si="166"/>
        <v>0</v>
      </c>
      <c r="BL206" s="104">
        <f t="shared" si="166"/>
        <v>6.1881267672139133E-2</v>
      </c>
      <c r="BM206" s="104">
        <f t="shared" si="166"/>
        <v>9.3668330652052333E-3</v>
      </c>
      <c r="BN206" s="104">
        <f t="shared" si="166"/>
        <v>2.2194717688516483E-2</v>
      </c>
      <c r="BO206" s="104">
        <f t="shared" si="166"/>
        <v>4.8755746084443899E-2</v>
      </c>
    </row>
    <row r="207" spans="1:67" x14ac:dyDescent="0.2">
      <c r="BD207" s="104"/>
      <c r="BE207" s="104"/>
      <c r="BF207" s="104"/>
      <c r="BG207" s="104"/>
      <c r="BL207" s="104"/>
    </row>
    <row r="208" spans="1:67" x14ac:dyDescent="0.2">
      <c r="BD208" s="168"/>
      <c r="BE208" s="168"/>
    </row>
    <row r="209" spans="14:67" x14ac:dyDescent="0.2">
      <c r="BD209" s="168"/>
      <c r="BE209" s="168"/>
    </row>
    <row r="217" spans="14:67" x14ac:dyDescent="0.2">
      <c r="N217" s="165"/>
      <c r="O217" s="165"/>
      <c r="P217" s="165"/>
      <c r="Q217" s="165"/>
      <c r="R217" s="165"/>
      <c r="S217" s="165"/>
      <c r="T217" s="165"/>
      <c r="U217" s="165"/>
      <c r="V217" s="165"/>
      <c r="W217" s="165"/>
      <c r="X217" s="165"/>
      <c r="Y217" s="165"/>
      <c r="Z217" s="165"/>
      <c r="AA217" s="165"/>
      <c r="AB217" s="165"/>
      <c r="AC217" s="165"/>
      <c r="AD217" s="165"/>
      <c r="AE217" s="165"/>
      <c r="AF217" s="165"/>
      <c r="AG217" s="165"/>
      <c r="AH217" s="165"/>
      <c r="AI217" s="165"/>
      <c r="AJ217" s="165"/>
      <c r="AK217" s="165"/>
      <c r="AL217" s="165"/>
      <c r="AM217" s="165"/>
      <c r="AN217" s="165"/>
      <c r="AO217" s="165"/>
      <c r="AP217" s="165"/>
      <c r="AQ217" s="165"/>
      <c r="AS217" s="165"/>
      <c r="AT217" s="165"/>
      <c r="AU217" s="165"/>
      <c r="AV217" s="165"/>
      <c r="AW217" s="165"/>
      <c r="AX217" s="165"/>
      <c r="AY217" s="165"/>
      <c r="AZ217" s="165"/>
      <c r="BA217" s="165"/>
      <c r="BB217" s="165"/>
      <c r="BC217" s="165"/>
      <c r="BH217" s="165"/>
      <c r="BI217" s="165"/>
      <c r="BJ217" s="165"/>
      <c r="BK217" s="165"/>
      <c r="BM217" s="165"/>
      <c r="BN217" s="165"/>
      <c r="BO217" s="165"/>
    </row>
    <row r="220" spans="14:67" x14ac:dyDescent="0.2">
      <c r="BD220" s="168"/>
      <c r="BE220" s="168"/>
      <c r="BF220" s="168"/>
      <c r="BG220" s="168"/>
      <c r="BL220" s="168"/>
    </row>
  </sheetData>
  <autoFilter ref="A103:AQ142" xr:uid="{FE27D4C7-A598-FA4E-B8A2-10BBFFED0EE0}">
    <filterColumn colId="0" showButton="0"/>
  </autoFilter>
  <mergeCells count="4">
    <mergeCell ref="A7:B7"/>
    <mergeCell ref="A61:B61"/>
    <mergeCell ref="A103:B103"/>
    <mergeCell ref="A146:B146"/>
  </mergeCells>
  <pageMargins left="0.25" right="0.25" top="0.75" bottom="0.75" header="0.3" footer="0.3"/>
  <pageSetup scale="32" fitToHeight="0"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CFF96-B5D5-6C47-B70A-24FAF9D5CC59}">
  <sheetPr>
    <tabColor rgb="FFC00000"/>
  </sheetPr>
  <dimension ref="A1:K55"/>
  <sheetViews>
    <sheetView topLeftCell="C1" zoomScale="106" workbookViewId="0">
      <selection sqref="A1:B1"/>
    </sheetView>
  </sheetViews>
  <sheetFormatPr baseColWidth="10" defaultColWidth="11.1640625" defaultRowHeight="16" x14ac:dyDescent="0.2"/>
  <cols>
    <col min="1" max="1" width="22.33203125" bestFit="1" customWidth="1"/>
    <col min="2" max="2" width="13.6640625" customWidth="1"/>
    <col min="3" max="4" width="13.83203125" bestFit="1" customWidth="1"/>
    <col min="5" max="11" width="12.83203125" bestFit="1" customWidth="1"/>
  </cols>
  <sheetData>
    <row r="1" spans="1:11" x14ac:dyDescent="0.2">
      <c r="A1" s="313"/>
      <c r="B1" s="314">
        <v>2012</v>
      </c>
      <c r="C1" s="315">
        <v>2013</v>
      </c>
      <c r="D1" s="315">
        <v>2014</v>
      </c>
      <c r="E1" s="315">
        <v>2015</v>
      </c>
      <c r="F1" s="315">
        <v>2016</v>
      </c>
      <c r="G1" s="315">
        <v>2017</v>
      </c>
      <c r="H1" s="315">
        <v>2018</v>
      </c>
      <c r="I1" s="315">
        <v>2019</v>
      </c>
      <c r="J1" s="315">
        <v>2020</v>
      </c>
      <c r="K1" s="315">
        <v>2021</v>
      </c>
    </row>
    <row r="2" spans="1:11" x14ac:dyDescent="0.2">
      <c r="A2" s="316" t="s">
        <v>709</v>
      </c>
      <c r="B2" s="317"/>
      <c r="C2" s="317"/>
      <c r="D2" s="317"/>
      <c r="E2" s="317"/>
      <c r="F2" s="318"/>
      <c r="G2" s="318"/>
      <c r="H2" s="318"/>
      <c r="I2" s="318"/>
      <c r="J2" s="318"/>
      <c r="K2" s="318"/>
    </row>
    <row r="3" spans="1:11" x14ac:dyDescent="0.2">
      <c r="A3" s="319" t="s">
        <v>699</v>
      </c>
      <c r="B3" s="320">
        <v>65628</v>
      </c>
      <c r="C3" s="320">
        <v>67162</v>
      </c>
      <c r="D3" s="320">
        <v>65530</v>
      </c>
      <c r="E3" s="321">
        <v>69750</v>
      </c>
      <c r="F3" s="321">
        <v>73542</v>
      </c>
      <c r="G3" s="321">
        <v>76366</v>
      </c>
      <c r="H3" s="321">
        <v>81060</v>
      </c>
      <c r="I3" s="322">
        <v>81333</v>
      </c>
      <c r="J3" s="323">
        <v>23883</v>
      </c>
      <c r="K3" s="323">
        <v>20461</v>
      </c>
    </row>
    <row r="4" spans="1:11" x14ac:dyDescent="0.2">
      <c r="A4" s="319" t="s">
        <v>701</v>
      </c>
      <c r="B4" s="320">
        <v>53957</v>
      </c>
      <c r="C4" s="320">
        <v>55274</v>
      </c>
      <c r="D4" s="320">
        <v>55951</v>
      </c>
      <c r="E4" s="321">
        <v>59003</v>
      </c>
      <c r="F4" s="321">
        <v>63393</v>
      </c>
      <c r="G4" s="321">
        <v>66344</v>
      </c>
      <c r="H4" s="321">
        <v>68365</v>
      </c>
      <c r="I4" s="322">
        <v>69065</v>
      </c>
      <c r="J4" s="323">
        <v>17620</v>
      </c>
      <c r="K4" s="323">
        <v>13500</v>
      </c>
    </row>
    <row r="5" spans="1:11" x14ac:dyDescent="0.2">
      <c r="A5" s="319" t="s">
        <v>702</v>
      </c>
      <c r="B5" s="324">
        <v>0.82199999999999995</v>
      </c>
      <c r="C5" s="324">
        <v>0.82299999999999995</v>
      </c>
      <c r="D5" s="324">
        <v>0.85399999999999998</v>
      </c>
      <c r="E5" s="324">
        <v>0.84599999999999997</v>
      </c>
      <c r="F5" s="324">
        <v>0.86199999999999999</v>
      </c>
      <c r="G5" s="324">
        <v>0.86899999999999999</v>
      </c>
      <c r="H5" s="324">
        <v>0.84299999999999997</v>
      </c>
      <c r="I5" s="324">
        <v>0.84899999999999998</v>
      </c>
      <c r="J5" s="324">
        <v>0.73799999999999999</v>
      </c>
      <c r="K5" s="324">
        <v>0.66</v>
      </c>
    </row>
    <row r="6" spans="1:11" x14ac:dyDescent="0.2">
      <c r="A6" s="319" t="s">
        <v>708</v>
      </c>
      <c r="B6" s="325">
        <v>7.9</v>
      </c>
      <c r="C6" s="325">
        <v>7.9</v>
      </c>
      <c r="D6" s="325">
        <v>7.6</v>
      </c>
      <c r="E6" s="325">
        <v>6.4</v>
      </c>
      <c r="F6" s="325">
        <v>5.8</v>
      </c>
      <c r="G6" s="325">
        <v>6.2</v>
      </c>
      <c r="H6" s="325">
        <v>6.1</v>
      </c>
      <c r="I6" s="325">
        <v>5.8</v>
      </c>
      <c r="J6" s="325">
        <v>5.8</v>
      </c>
      <c r="K6" s="325">
        <v>4.5999999999999996</v>
      </c>
    </row>
    <row r="7" spans="1:11" x14ac:dyDescent="0.2">
      <c r="A7" s="319"/>
      <c r="B7" s="317"/>
      <c r="C7" s="317"/>
      <c r="D7" s="317"/>
      <c r="E7" s="324"/>
      <c r="F7" s="324"/>
      <c r="G7" s="324"/>
      <c r="H7" s="324"/>
      <c r="I7" s="874">
        <f t="shared" ref="I7:J7" si="0">+I3*I6</f>
        <v>471731.39999999997</v>
      </c>
      <c r="J7" s="874">
        <f t="shared" si="0"/>
        <v>138521.4</v>
      </c>
      <c r="K7" s="874">
        <f>+K3*K6</f>
        <v>94120.599999999991</v>
      </c>
    </row>
    <row r="8" spans="1:11" x14ac:dyDescent="0.2">
      <c r="A8" s="316" t="s">
        <v>710</v>
      </c>
      <c r="B8" s="317"/>
      <c r="C8" s="317"/>
      <c r="D8" s="317"/>
      <c r="E8" s="317"/>
      <c r="F8" s="317"/>
      <c r="G8" s="317"/>
      <c r="H8" s="317"/>
      <c r="I8" s="317"/>
      <c r="J8" s="317"/>
      <c r="K8" s="317"/>
    </row>
    <row r="9" spans="1:11" x14ac:dyDescent="0.2">
      <c r="A9" s="319" t="s">
        <v>699</v>
      </c>
      <c r="B9" s="320">
        <v>48211</v>
      </c>
      <c r="C9" s="320">
        <v>44164</v>
      </c>
      <c r="D9" s="320">
        <v>43561</v>
      </c>
      <c r="E9" s="321">
        <v>42478</v>
      </c>
      <c r="F9" s="321">
        <v>37579</v>
      </c>
      <c r="G9" s="321">
        <v>36211</v>
      </c>
      <c r="H9" s="321">
        <v>37541</v>
      </c>
      <c r="I9" s="322">
        <v>40442</v>
      </c>
      <c r="J9" s="323">
        <v>20834</v>
      </c>
      <c r="K9" s="323">
        <v>29327</v>
      </c>
    </row>
    <row r="10" spans="1:11" x14ac:dyDescent="0.2">
      <c r="A10" s="319" t="s">
        <v>701</v>
      </c>
      <c r="B10" s="320">
        <v>35483</v>
      </c>
      <c r="C10" s="320">
        <v>35193</v>
      </c>
      <c r="D10" s="320">
        <v>35590</v>
      </c>
      <c r="E10" s="321">
        <v>34648</v>
      </c>
      <c r="F10" s="321">
        <v>30941</v>
      </c>
      <c r="G10" s="321">
        <v>29941</v>
      </c>
      <c r="H10" s="321">
        <v>30492</v>
      </c>
      <c r="I10" s="322">
        <v>33363</v>
      </c>
      <c r="J10" s="323">
        <v>16662</v>
      </c>
      <c r="K10" s="323">
        <v>23456</v>
      </c>
    </row>
    <row r="11" spans="1:11" x14ac:dyDescent="0.2">
      <c r="A11" s="319" t="s">
        <v>702</v>
      </c>
      <c r="B11" s="324">
        <v>0.73599999999999999</v>
      </c>
      <c r="C11" s="324">
        <v>0.79700000000000004</v>
      </c>
      <c r="D11" s="324">
        <v>0.81699999999999995</v>
      </c>
      <c r="E11" s="324">
        <v>0.81599999999999995</v>
      </c>
      <c r="F11" s="324">
        <v>0.82299999999999995</v>
      </c>
      <c r="G11" s="324">
        <v>0.82699999999999996</v>
      </c>
      <c r="H11" s="324">
        <v>0.81200000000000006</v>
      </c>
      <c r="I11" s="324">
        <v>0.82499999999999996</v>
      </c>
      <c r="J11" s="324">
        <v>0.8</v>
      </c>
      <c r="K11" s="324">
        <v>0.8</v>
      </c>
    </row>
    <row r="12" spans="1:11" x14ac:dyDescent="0.2">
      <c r="A12" s="319" t="s">
        <v>708</v>
      </c>
      <c r="B12" s="325">
        <v>8.8000000000000007</v>
      </c>
      <c r="C12" s="325">
        <v>9.1999999999999993</v>
      </c>
      <c r="D12" s="325">
        <v>8.6</v>
      </c>
      <c r="E12" s="325">
        <v>5.9</v>
      </c>
      <c r="F12" s="325">
        <v>5.8</v>
      </c>
      <c r="G12" s="325">
        <v>6.6</v>
      </c>
      <c r="H12" s="325">
        <v>6.2</v>
      </c>
      <c r="I12" s="325">
        <v>6.9</v>
      </c>
      <c r="J12" s="325">
        <v>4.9000000000000004</v>
      </c>
      <c r="K12" s="325">
        <v>4.8</v>
      </c>
    </row>
    <row r="13" spans="1:11" x14ac:dyDescent="0.2">
      <c r="A13" s="319"/>
      <c r="B13" s="317"/>
      <c r="C13" s="317"/>
      <c r="D13" s="317"/>
      <c r="E13" s="324"/>
      <c r="F13" s="324"/>
      <c r="G13" s="324"/>
      <c r="H13" s="324"/>
      <c r="I13" s="874">
        <f t="shared" ref="I13" si="1">+I9*I12</f>
        <v>279049.8</v>
      </c>
      <c r="J13" s="874">
        <f t="shared" ref="J13" si="2">+J9*J12</f>
        <v>102086.6</v>
      </c>
      <c r="K13" s="874">
        <f>+K9*K12</f>
        <v>140769.60000000001</v>
      </c>
    </row>
    <row r="14" spans="1:11" x14ac:dyDescent="0.2">
      <c r="A14" s="316" t="s">
        <v>7</v>
      </c>
      <c r="B14" s="317"/>
      <c r="C14" s="317"/>
      <c r="D14" s="317"/>
      <c r="E14" s="317"/>
      <c r="F14" s="317"/>
      <c r="G14" s="317"/>
      <c r="H14" s="317"/>
      <c r="I14" s="317"/>
      <c r="J14" s="317"/>
      <c r="K14" s="317"/>
    </row>
    <row r="15" spans="1:11" x14ac:dyDescent="0.2">
      <c r="A15" s="319" t="s">
        <v>699</v>
      </c>
      <c r="B15" s="320">
        <v>18348</v>
      </c>
      <c r="C15" s="320">
        <v>20365</v>
      </c>
      <c r="D15" s="320">
        <v>21110</v>
      </c>
      <c r="E15" s="320">
        <v>22073</v>
      </c>
      <c r="F15" s="320">
        <v>23847</v>
      </c>
      <c r="G15" s="320">
        <v>23821</v>
      </c>
      <c r="H15" s="320">
        <v>24664</v>
      </c>
      <c r="I15" s="326">
        <v>27337</v>
      </c>
      <c r="J15" s="327">
        <v>10970</v>
      </c>
      <c r="K15" s="327">
        <v>17848</v>
      </c>
    </row>
    <row r="16" spans="1:11" x14ac:dyDescent="0.2">
      <c r="A16" s="319" t="s">
        <v>701</v>
      </c>
      <c r="B16" s="320">
        <v>14446</v>
      </c>
      <c r="C16" s="320">
        <v>15999</v>
      </c>
      <c r="D16" s="320">
        <v>16993</v>
      </c>
      <c r="E16" s="320">
        <v>17858</v>
      </c>
      <c r="F16" s="320">
        <v>19294</v>
      </c>
      <c r="G16" s="320">
        <v>19408</v>
      </c>
      <c r="H16" s="320">
        <v>20221</v>
      </c>
      <c r="I16" s="326">
        <v>22093</v>
      </c>
      <c r="J16" s="327">
        <v>8343</v>
      </c>
      <c r="K16" s="327">
        <v>13360</v>
      </c>
    </row>
    <row r="17" spans="1:11" x14ac:dyDescent="0.2">
      <c r="A17" s="319" t="s">
        <v>702</v>
      </c>
      <c r="B17" s="324">
        <v>0.78700000000000003</v>
      </c>
      <c r="C17" s="324">
        <v>0.78600000000000003</v>
      </c>
      <c r="D17" s="324">
        <v>0.80500000000000005</v>
      </c>
      <c r="E17" s="324">
        <v>0.80900000000000005</v>
      </c>
      <c r="F17" s="324">
        <v>0.80900000000000005</v>
      </c>
      <c r="G17" s="324">
        <v>0.81499999999999995</v>
      </c>
      <c r="H17" s="324">
        <v>0.82</v>
      </c>
      <c r="I17" s="324">
        <v>0.80800000000000005</v>
      </c>
      <c r="J17" s="324">
        <v>0.76</v>
      </c>
      <c r="K17" s="324">
        <v>0.749</v>
      </c>
    </row>
    <row r="18" spans="1:11" x14ac:dyDescent="0.2">
      <c r="A18" s="319" t="s">
        <v>708</v>
      </c>
      <c r="B18" s="325">
        <v>10.199999999999999</v>
      </c>
      <c r="C18" s="325">
        <v>9.6</v>
      </c>
      <c r="D18" s="325">
        <v>9.1</v>
      </c>
      <c r="E18" s="325">
        <v>8.3000000000000007</v>
      </c>
      <c r="F18" s="325">
        <v>6.9</v>
      </c>
      <c r="G18" s="325">
        <v>7.3</v>
      </c>
      <c r="H18" s="325">
        <v>7.1</v>
      </c>
      <c r="I18" s="325">
        <v>6.5</v>
      </c>
      <c r="J18" s="325">
        <v>6.3</v>
      </c>
      <c r="K18" s="325">
        <v>5.8</v>
      </c>
    </row>
    <row r="19" spans="1:11" x14ac:dyDescent="0.2">
      <c r="A19" s="313"/>
      <c r="B19" s="313"/>
      <c r="C19" s="313"/>
      <c r="D19" s="313"/>
      <c r="E19" s="313"/>
      <c r="F19" s="313"/>
      <c r="G19" s="313"/>
      <c r="H19" s="313"/>
      <c r="I19" s="874">
        <f t="shared" ref="I19" si="3">+I15*I18</f>
        <v>177690.5</v>
      </c>
      <c r="J19" s="874">
        <f t="shared" ref="J19" si="4">+J15*J18</f>
        <v>69111</v>
      </c>
      <c r="K19" s="874">
        <f>+K15*K18</f>
        <v>103518.39999999999</v>
      </c>
    </row>
    <row r="20" spans="1:11" x14ac:dyDescent="0.2">
      <c r="A20" s="319" t="s">
        <v>776</v>
      </c>
      <c r="B20" s="320">
        <v>132186</v>
      </c>
      <c r="C20" s="320">
        <v>131691</v>
      </c>
      <c r="D20" s="320">
        <v>130201</v>
      </c>
      <c r="E20" s="320">
        <v>134302</v>
      </c>
      <c r="F20" s="320">
        <v>134968</v>
      </c>
      <c r="G20" s="320">
        <v>136398</v>
      </c>
      <c r="H20" s="320">
        <v>143265</v>
      </c>
      <c r="I20" s="320">
        <v>149112</v>
      </c>
      <c r="J20" s="320">
        <v>55688</v>
      </c>
      <c r="K20" s="320">
        <v>67636</v>
      </c>
    </row>
    <row r="21" spans="1:11" x14ac:dyDescent="0.2">
      <c r="A21" s="319" t="s">
        <v>777</v>
      </c>
      <c r="B21" s="320">
        <v>103886</v>
      </c>
      <c r="C21" s="320">
        <v>106466</v>
      </c>
      <c r="D21" s="320">
        <v>108534</v>
      </c>
      <c r="E21" s="320">
        <v>111510</v>
      </c>
      <c r="F21" s="320">
        <v>113627</v>
      </c>
      <c r="G21" s="320">
        <v>115693</v>
      </c>
      <c r="H21" s="320">
        <v>119077</v>
      </c>
      <c r="I21" s="320">
        <v>124521</v>
      </c>
      <c r="J21" s="320">
        <v>42624</v>
      </c>
      <c r="K21" s="320">
        <v>50317</v>
      </c>
    </row>
    <row r="22" spans="1:11" x14ac:dyDescent="0.2">
      <c r="A22" s="319" t="s">
        <v>778</v>
      </c>
      <c r="B22" s="324">
        <v>0.496</v>
      </c>
      <c r="C22" s="324">
        <v>0.51</v>
      </c>
      <c r="D22" s="324">
        <v>0.503</v>
      </c>
      <c r="E22" s="324">
        <v>0.51900000000000002</v>
      </c>
      <c r="F22" s="324">
        <v>0.54500000000000004</v>
      </c>
      <c r="G22" s="324">
        <v>0.56000000000000005</v>
      </c>
      <c r="H22" s="324">
        <v>0.56599999999999995</v>
      </c>
      <c r="I22" s="324">
        <v>0.54500000000000004</v>
      </c>
      <c r="J22" s="324">
        <v>0.42899999999999999</v>
      </c>
      <c r="K22" s="324">
        <v>0.30299999999999999</v>
      </c>
    </row>
    <row r="23" spans="1:11" x14ac:dyDescent="0.2">
      <c r="A23" s="319" t="s">
        <v>779</v>
      </c>
      <c r="B23" s="324">
        <v>0.36499999999999999</v>
      </c>
      <c r="C23" s="324">
        <v>0.33500000000000002</v>
      </c>
      <c r="D23" s="324">
        <v>0.33500000000000002</v>
      </c>
      <c r="E23" s="324">
        <v>0.316</v>
      </c>
      <c r="F23" s="324">
        <v>0.27800000000000002</v>
      </c>
      <c r="G23" s="324">
        <v>0.26500000000000001</v>
      </c>
      <c r="H23" s="324">
        <v>0.26200000000000001</v>
      </c>
      <c r="I23" s="324">
        <v>0.27100000000000002</v>
      </c>
      <c r="J23" s="324">
        <v>0.374</v>
      </c>
      <c r="K23" s="324">
        <v>0.434</v>
      </c>
    </row>
    <row r="24" spans="1:11" x14ac:dyDescent="0.2">
      <c r="A24" s="319" t="s">
        <v>780</v>
      </c>
      <c r="B24" s="324">
        <v>0.13900000000000001</v>
      </c>
      <c r="C24" s="324">
        <v>0.155</v>
      </c>
      <c r="D24" s="324">
        <v>0.16200000000000001</v>
      </c>
      <c r="E24" s="324">
        <v>0.16400000000000001</v>
      </c>
      <c r="F24" s="324">
        <v>0.17699999999999999</v>
      </c>
      <c r="G24" s="324">
        <v>0.17499999999999999</v>
      </c>
      <c r="H24" s="324">
        <v>0.17199999999999999</v>
      </c>
      <c r="I24" s="324">
        <v>0.183</v>
      </c>
      <c r="J24" s="324">
        <v>0.19700000000000001</v>
      </c>
      <c r="K24" s="324">
        <v>0.26400000000000001</v>
      </c>
    </row>
    <row r="25" spans="1:11" x14ac:dyDescent="0.2">
      <c r="A25" s="313"/>
      <c r="B25" s="313"/>
      <c r="C25" s="313"/>
      <c r="D25" s="313"/>
      <c r="E25" s="313"/>
      <c r="F25" s="313"/>
      <c r="G25" s="313"/>
      <c r="H25" s="313"/>
      <c r="I25" s="313"/>
      <c r="J25" s="313"/>
      <c r="K25" s="313"/>
    </row>
    <row r="26" spans="1:11" x14ac:dyDescent="0.2">
      <c r="A26" s="319" t="s">
        <v>781</v>
      </c>
      <c r="B26" s="320">
        <v>5164173339</v>
      </c>
      <c r="C26" s="320">
        <v>5295729459</v>
      </c>
      <c r="D26" s="320">
        <v>5004245279</v>
      </c>
      <c r="E26" s="320">
        <v>4497041664</v>
      </c>
      <c r="F26" s="320">
        <v>4257769905</v>
      </c>
      <c r="G26" s="320">
        <v>4714108499</v>
      </c>
      <c r="H26" s="320">
        <v>4943647270</v>
      </c>
      <c r="I26" s="320">
        <v>4676924524</v>
      </c>
      <c r="J26" s="320">
        <v>1380759542</v>
      </c>
      <c r="K26" s="320">
        <v>936482683</v>
      </c>
    </row>
    <row r="27" spans="1:11" x14ac:dyDescent="0.2">
      <c r="A27" s="319" t="s">
        <v>782</v>
      </c>
      <c r="B27" s="320">
        <v>4251508550</v>
      </c>
      <c r="C27" s="320">
        <v>4057269087</v>
      </c>
      <c r="D27" s="320">
        <v>3745052358</v>
      </c>
      <c r="E27" s="320">
        <v>2486945971</v>
      </c>
      <c r="F27" s="320">
        <v>2196152524</v>
      </c>
      <c r="G27" s="320">
        <v>2378343534</v>
      </c>
      <c r="H27" s="320">
        <v>2340772254</v>
      </c>
      <c r="I27" s="320">
        <v>2776219536</v>
      </c>
      <c r="J27" s="320">
        <v>1027912616</v>
      </c>
      <c r="K27" s="320">
        <v>1416627499</v>
      </c>
    </row>
    <row r="28" spans="1:11" x14ac:dyDescent="0.2">
      <c r="A28" s="319" t="s">
        <v>783</v>
      </c>
      <c r="B28" s="320">
        <v>1865893929</v>
      </c>
      <c r="C28" s="320">
        <v>1952504572</v>
      </c>
      <c r="D28" s="320">
        <v>1919059390</v>
      </c>
      <c r="E28" s="320">
        <v>1828892688</v>
      </c>
      <c r="F28" s="320">
        <v>1655543293</v>
      </c>
      <c r="G28" s="320">
        <v>1727687609</v>
      </c>
      <c r="H28" s="320">
        <v>1745569179</v>
      </c>
      <c r="I28" s="320">
        <v>1784825403</v>
      </c>
      <c r="J28" s="320">
        <v>686080743</v>
      </c>
      <c r="K28" s="320">
        <v>1037664977</v>
      </c>
    </row>
    <row r="29" spans="1:11" x14ac:dyDescent="0.2">
      <c r="A29" s="313"/>
      <c r="B29" s="313"/>
      <c r="C29" s="313"/>
      <c r="D29" s="313"/>
      <c r="E29" s="313"/>
      <c r="F29" s="313"/>
      <c r="G29" s="313"/>
      <c r="H29" s="313"/>
      <c r="I29" s="328"/>
      <c r="J29" s="313"/>
      <c r="K29" s="313"/>
    </row>
    <row r="30" spans="1:11" x14ac:dyDescent="0.2">
      <c r="A30" s="316" t="s">
        <v>784</v>
      </c>
      <c r="B30" s="320">
        <v>11281575819</v>
      </c>
      <c r="C30" s="320">
        <v>11305503118</v>
      </c>
      <c r="D30" s="320">
        <v>10668357028</v>
      </c>
      <c r="E30" s="320">
        <v>8812880323</v>
      </c>
      <c r="F30" s="320">
        <v>8109465722</v>
      </c>
      <c r="G30" s="320">
        <v>8820139642</v>
      </c>
      <c r="H30" s="320">
        <v>9029988703</v>
      </c>
      <c r="I30" s="320">
        <v>9237969463</v>
      </c>
      <c r="J30" s="320">
        <v>3094752901</v>
      </c>
      <c r="K30" s="320">
        <v>3390775159</v>
      </c>
    </row>
    <row r="31" spans="1:11" x14ac:dyDescent="0.2">
      <c r="A31" s="313"/>
      <c r="B31" s="313"/>
      <c r="C31" s="313"/>
      <c r="D31" s="313"/>
      <c r="E31" s="313"/>
      <c r="F31" s="313"/>
      <c r="G31" s="313"/>
      <c r="H31" s="313"/>
      <c r="I31" s="313"/>
      <c r="J31" s="313"/>
      <c r="K31" s="313"/>
    </row>
    <row r="32" spans="1:11" x14ac:dyDescent="0.2">
      <c r="A32" s="329" t="s">
        <v>511</v>
      </c>
      <c r="B32" s="330">
        <v>11016976</v>
      </c>
      <c r="C32" s="330">
        <v>11061557</v>
      </c>
      <c r="D32" s="330">
        <v>10380122</v>
      </c>
      <c r="E32" s="330">
        <v>8410614</v>
      </c>
      <c r="F32" s="330">
        <v>7877715</v>
      </c>
      <c r="G32" s="330">
        <v>8494477</v>
      </c>
      <c r="H32" s="330">
        <v>8708988</v>
      </c>
      <c r="I32" s="330">
        <v>9005629</v>
      </c>
      <c r="J32" s="330">
        <v>2713774</v>
      </c>
      <c r="K32" s="330">
        <v>3342381</v>
      </c>
    </row>
    <row r="33" spans="1:11" x14ac:dyDescent="0.2">
      <c r="A33" s="313"/>
      <c r="B33" s="313"/>
      <c r="C33" s="313"/>
      <c r="D33" s="313"/>
      <c r="E33" s="313"/>
      <c r="F33" s="313"/>
      <c r="G33" s="313"/>
      <c r="H33" s="313"/>
      <c r="I33" s="313"/>
      <c r="J33" s="313"/>
      <c r="K33" s="313"/>
    </row>
    <row r="34" spans="1:11" x14ac:dyDescent="0.2">
      <c r="A34" s="316" t="s">
        <v>717</v>
      </c>
      <c r="B34" s="325">
        <v>9.9</v>
      </c>
      <c r="C34" s="325">
        <v>9.6</v>
      </c>
      <c r="D34" s="325">
        <v>9.1999999999999993</v>
      </c>
      <c r="E34" s="325">
        <v>7.2</v>
      </c>
      <c r="F34" s="325">
        <v>6.6</v>
      </c>
      <c r="G34" s="325">
        <v>6.9</v>
      </c>
      <c r="H34" s="325">
        <v>6.6</v>
      </c>
      <c r="I34" s="325">
        <v>6.5</v>
      </c>
      <c r="J34" s="325">
        <v>10.8</v>
      </c>
      <c r="K34" s="325">
        <v>9.1999999999999993</v>
      </c>
    </row>
    <row r="35" spans="1:11" x14ac:dyDescent="0.2">
      <c r="A35" s="316" t="s">
        <v>718</v>
      </c>
      <c r="B35" s="325">
        <v>6.3</v>
      </c>
      <c r="C35" s="325">
        <v>6.2</v>
      </c>
      <c r="D35" s="325">
        <v>6</v>
      </c>
      <c r="E35" s="325">
        <v>5.2</v>
      </c>
      <c r="F35" s="325">
        <v>5.0999999999999996</v>
      </c>
      <c r="G35" s="325">
        <v>5.2</v>
      </c>
      <c r="H35" s="325">
        <v>4.5</v>
      </c>
      <c r="I35" s="325">
        <v>4.5</v>
      </c>
      <c r="J35" s="325">
        <v>8.9</v>
      </c>
      <c r="K35" s="325">
        <v>7</v>
      </c>
    </row>
    <row r="37" spans="1:11" x14ac:dyDescent="0.2">
      <c r="A37" t="s">
        <v>8</v>
      </c>
    </row>
    <row r="38" spans="1:11" x14ac:dyDescent="0.2">
      <c r="B38">
        <f t="shared" ref="B38:K38" si="5">B26/SUM(B26:B28)</f>
        <v>0.45775283721981896</v>
      </c>
      <c r="C38">
        <f t="shared" si="5"/>
        <v>0.46842050315907047</v>
      </c>
      <c r="D38">
        <f t="shared" si="5"/>
        <v>0.46907366020231711</v>
      </c>
      <c r="E38">
        <f t="shared" si="5"/>
        <v>0.51028057787912384</v>
      </c>
      <c r="F38">
        <f t="shared" si="5"/>
        <v>0.52503704324801381</v>
      </c>
      <c r="G38">
        <f t="shared" si="5"/>
        <v>0.53447095968324809</v>
      </c>
      <c r="H38">
        <f t="shared" si="5"/>
        <v>0.54746992854571241</v>
      </c>
      <c r="I38">
        <f t="shared" si="5"/>
        <v>0.50627191859986775</v>
      </c>
      <c r="J38">
        <f t="shared" si="5"/>
        <v>0.44616148240909265</v>
      </c>
      <c r="K38">
        <f t="shared" si="5"/>
        <v>0.27618542636610133</v>
      </c>
    </row>
    <row r="39" spans="1:11" x14ac:dyDescent="0.2">
      <c r="B39">
        <v>84.34195327284003</v>
      </c>
      <c r="C39">
        <v>96.057348436571814</v>
      </c>
      <c r="D39">
        <v>95.492653169201674</v>
      </c>
      <c r="E39">
        <v>108.20752563368144</v>
      </c>
      <c r="F39">
        <v>128.58903995207996</v>
      </c>
      <c r="G39">
        <v>122.16337509654804</v>
      </c>
      <c r="H39">
        <v>103.09711415379145</v>
      </c>
      <c r="I39">
        <v>115.12536159328793</v>
      </c>
    </row>
    <row r="41" spans="1:11" x14ac:dyDescent="0.2">
      <c r="B41" s="331">
        <v>0.45775283721981896</v>
      </c>
      <c r="C41">
        <v>84.34195327284003</v>
      </c>
      <c r="E41" cm="1">
        <f t="array" ref="E41:F45">+LINEST(C41:C48,B41:B48,TRUE,TRUE)</f>
        <v>329.65163159925612</v>
      </c>
      <c r="F41">
        <v>-58.965270630442447</v>
      </c>
      <c r="H41">
        <f>+_xlfn.COVARIANCE.P(B41:B48,C41:C48)/_xlfn.VAR.P(B41:B48)</f>
        <v>329.65163159925612</v>
      </c>
    </row>
    <row r="42" spans="1:11" x14ac:dyDescent="0.2">
      <c r="B42" s="331">
        <v>0.46842050315907047</v>
      </c>
      <c r="C42">
        <v>96.057348436571814</v>
      </c>
      <c r="E42">
        <v>120.05219710076068</v>
      </c>
      <c r="F42">
        <v>60.425883773311831</v>
      </c>
    </row>
    <row r="43" spans="1:11" x14ac:dyDescent="0.2">
      <c r="B43" s="331">
        <v>0.46907366020231711</v>
      </c>
      <c r="C43">
        <v>95.492653169201674</v>
      </c>
      <c r="D43" s="56"/>
      <c r="E43" s="56">
        <v>0.55686790593513491</v>
      </c>
      <c r="F43" s="56">
        <v>10.675856437014859</v>
      </c>
      <c r="G43" s="56"/>
      <c r="H43" s="56"/>
      <c r="I43" s="56"/>
      <c r="J43" s="56"/>
      <c r="K43" s="56"/>
    </row>
    <row r="44" spans="1:11" x14ac:dyDescent="0.2">
      <c r="B44" s="331">
        <v>0.51028057787912384</v>
      </c>
      <c r="C44">
        <v>108.20752563368144</v>
      </c>
      <c r="D44" s="331"/>
      <c r="E44" s="331">
        <v>7.5399806973171479</v>
      </c>
      <c r="F44" s="331">
        <v>6</v>
      </c>
      <c r="G44" s="331"/>
      <c r="H44" s="331"/>
      <c r="I44" s="331"/>
      <c r="J44" s="331"/>
      <c r="K44" s="331"/>
    </row>
    <row r="45" spans="1:11" x14ac:dyDescent="0.2">
      <c r="B45" s="331">
        <v>0.52503704324801381</v>
      </c>
      <c r="C45">
        <v>128.58903995207996</v>
      </c>
      <c r="D45" s="331"/>
      <c r="E45" s="331">
        <v>859.36108640243606</v>
      </c>
      <c r="F45" s="331">
        <v>683.84346398250955</v>
      </c>
      <c r="G45" s="331"/>
      <c r="H45" s="331"/>
      <c r="I45" s="331"/>
    </row>
    <row r="46" spans="1:11" x14ac:dyDescent="0.2">
      <c r="B46" s="331">
        <v>0.53447095968324809</v>
      </c>
      <c r="C46">
        <v>122.16337509654804</v>
      </c>
    </row>
    <row r="47" spans="1:11" x14ac:dyDescent="0.2">
      <c r="B47" s="331">
        <v>0.54746992854571241</v>
      </c>
      <c r="C47">
        <v>103.09711415379145</v>
      </c>
    </row>
    <row r="48" spans="1:11" x14ac:dyDescent="0.2">
      <c r="B48" s="331">
        <v>0.50627191859986775</v>
      </c>
      <c r="C48">
        <v>115.12536159328793</v>
      </c>
    </row>
    <row r="49" spans="5:10" x14ac:dyDescent="0.2">
      <c r="E49">
        <v>-58.965270630442447</v>
      </c>
      <c r="F49">
        <v>329.65163159925612</v>
      </c>
    </row>
    <row r="50" spans="5:10" x14ac:dyDescent="0.2">
      <c r="E50">
        <f>+E49+0.35*F49</f>
        <v>56.412800429297192</v>
      </c>
    </row>
    <row r="54" spans="5:10" x14ac:dyDescent="0.2">
      <c r="E54">
        <v>0.28241404188257974</v>
      </c>
      <c r="F54">
        <v>0.36826503455641424</v>
      </c>
      <c r="G54">
        <v>0.35304281612655736</v>
      </c>
      <c r="H54">
        <v>0.35088848954512852</v>
      </c>
      <c r="I54">
        <v>0.34963818938532693</v>
      </c>
      <c r="J54">
        <v>0.34787507951640434</v>
      </c>
    </row>
    <row r="55" spans="5:10" x14ac:dyDescent="0.2">
      <c r="E55">
        <f t="shared" ref="E55:J55" si="6">+$E$49+$F$49*E54</f>
        <v>34.132979062690623</v>
      </c>
      <c r="F55">
        <f t="shared" si="6"/>
        <v>62.43389887203594</v>
      </c>
      <c r="G55">
        <f t="shared" si="6"/>
        <v>57.415869730073354</v>
      </c>
      <c r="H55">
        <f t="shared" si="6"/>
        <v>56.705692457507695</v>
      </c>
      <c r="I55">
        <f t="shared" si="6"/>
        <v>56.293528969840281</v>
      </c>
      <c r="J55">
        <f t="shared" si="6"/>
        <v>55.712316924861199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5E78C-1DB7-0F44-B7DE-CF6278590D0A}">
  <sheetPr>
    <tabColor theme="9"/>
  </sheetPr>
  <dimension ref="A1:T181"/>
  <sheetViews>
    <sheetView zoomScale="65" zoomScaleNormal="67" workbookViewId="0">
      <pane xSplit="2" ySplit="6" topLeftCell="C164" activePane="bottomRight" state="frozen"/>
      <selection sqref="A1:B1"/>
      <selection pane="topRight" sqref="A1:B1"/>
      <selection pane="bottomLeft" sqref="A1:B1"/>
      <selection pane="bottomRight" sqref="A1:B1"/>
    </sheetView>
  </sheetViews>
  <sheetFormatPr baseColWidth="10" defaultColWidth="10.83203125" defaultRowHeight="13" x14ac:dyDescent="0.15"/>
  <cols>
    <col min="1" max="1" width="27.1640625" style="1" bestFit="1" customWidth="1"/>
    <col min="2" max="2" width="14.1640625" style="1" customWidth="1"/>
    <col min="3" max="3" width="47.33203125" style="1" bestFit="1" customWidth="1"/>
    <col min="4" max="4" width="27.1640625" style="1" customWidth="1"/>
    <col min="5" max="5" width="18" style="1" customWidth="1"/>
    <col min="6" max="6" width="19.33203125" style="1" customWidth="1"/>
    <col min="7" max="7" width="19" style="1" customWidth="1"/>
    <col min="8" max="8" width="18.1640625" style="1" customWidth="1"/>
    <col min="9" max="9" width="19.5" style="1" customWidth="1"/>
    <col min="10" max="10" width="20.5" style="1" customWidth="1"/>
    <col min="11" max="11" width="21.1640625" style="1" customWidth="1"/>
    <col min="12" max="12" width="25.33203125" style="1" customWidth="1"/>
    <col min="13" max="13" width="19.6640625" style="1" customWidth="1"/>
    <col min="14" max="16384" width="10.83203125" style="1"/>
  </cols>
  <sheetData>
    <row r="1" spans="1:13" s="40" customFormat="1" x14ac:dyDescent="0.15">
      <c r="A1" s="1188" t="s">
        <v>24</v>
      </c>
      <c r="B1" s="1188"/>
      <c r="C1" s="1188"/>
      <c r="D1" s="1188"/>
      <c r="E1" s="1188"/>
      <c r="F1" s="1188"/>
      <c r="G1" s="1188"/>
      <c r="H1" s="1188"/>
      <c r="I1" s="1188"/>
    </row>
    <row r="2" spans="1:13" s="40" customFormat="1" x14ac:dyDescent="0.15">
      <c r="A2" s="1188"/>
      <c r="B2" s="1188"/>
      <c r="C2" s="1188"/>
      <c r="D2" s="1188"/>
      <c r="E2" s="1188"/>
      <c r="F2" s="1188"/>
      <c r="G2" s="1188"/>
      <c r="H2" s="1188"/>
      <c r="I2" s="1188"/>
    </row>
    <row r="3" spans="1:13" s="40" customFormat="1" x14ac:dyDescent="0.15">
      <c r="A3" s="1188"/>
      <c r="B3" s="1188"/>
      <c r="C3" s="1188"/>
      <c r="D3" s="1188"/>
      <c r="E3" s="1188"/>
      <c r="F3" s="1188"/>
      <c r="G3" s="1188"/>
      <c r="H3" s="1188"/>
      <c r="I3" s="1188"/>
    </row>
    <row r="4" spans="1:13" s="41" customFormat="1" ht="14" thickBot="1" x14ac:dyDescent="0.2">
      <c r="A4" s="1232"/>
      <c r="B4" s="1232"/>
      <c r="C4" s="1232"/>
      <c r="D4" s="1232"/>
      <c r="E4" s="1232"/>
      <c r="F4" s="1232"/>
      <c r="G4" s="1232"/>
      <c r="H4" s="1232"/>
      <c r="I4" s="1232"/>
    </row>
    <row r="5" spans="1:13" ht="14" thickTop="1" x14ac:dyDescent="0.15"/>
    <row r="6" spans="1:13" ht="16" customHeight="1" thickBot="1" x14ac:dyDescent="0.25">
      <c r="A6" s="3" t="s">
        <v>25</v>
      </c>
      <c r="B6" s="5"/>
      <c r="C6" s="1189" t="s">
        <v>26</v>
      </c>
      <c r="D6" s="1233"/>
      <c r="E6" s="67">
        <v>2019</v>
      </c>
      <c r="F6" s="67">
        <v>2020</v>
      </c>
      <c r="G6" s="67">
        <v>2021</v>
      </c>
      <c r="H6" s="68" t="s">
        <v>0</v>
      </c>
      <c r="I6" s="68" t="s">
        <v>1</v>
      </c>
      <c r="J6" s="68" t="s">
        <v>2</v>
      </c>
      <c r="K6" s="68" t="s">
        <v>3</v>
      </c>
      <c r="L6" s="68" t="s">
        <v>4</v>
      </c>
      <c r="M6" s="68" t="s">
        <v>5</v>
      </c>
    </row>
    <row r="7" spans="1:13" ht="41" customHeight="1" x14ac:dyDescent="0.15">
      <c r="A7" s="1234" t="s">
        <v>27</v>
      </c>
      <c r="B7" s="1183" t="s">
        <v>28</v>
      </c>
      <c r="C7" s="1236" t="s">
        <v>29</v>
      </c>
      <c r="D7" s="1236"/>
      <c r="E7" s="66" cm="1">
        <f t="array" ref="E7:M7">TRANSPOSE('Domestic, Brazil estimate'!$B$53:$B$61)</f>
        <v>96449372986</v>
      </c>
      <c r="F7" s="66">
        <v>48695532564</v>
      </c>
      <c r="G7" s="66">
        <v>66373162099</v>
      </c>
      <c r="H7" s="66">
        <v>96237179239.518707</v>
      </c>
      <c r="I7" s="66">
        <v>99065544511.813965</v>
      </c>
      <c r="J7" s="66">
        <v>107285220818.03784</v>
      </c>
      <c r="K7" s="66">
        <v>112622271264.76328</v>
      </c>
      <c r="L7" s="66">
        <v>116772534133.71852</v>
      </c>
      <c r="M7" s="66">
        <v>121075739060.1198</v>
      </c>
    </row>
    <row r="8" spans="1:13" ht="21" customHeight="1" x14ac:dyDescent="0.15">
      <c r="A8" s="1235"/>
      <c r="B8" s="1184"/>
      <c r="C8" s="287" t="s">
        <v>30</v>
      </c>
      <c r="D8" s="277"/>
      <c r="E8" s="66"/>
      <c r="F8" s="69">
        <f>F7/E7-1</f>
        <v>-0.49511820495641434</v>
      </c>
      <c r="G8" s="69">
        <f t="shared" ref="G8:M8" si="0">G7/F7-1</f>
        <v>0.36302364106535823</v>
      </c>
      <c r="H8" s="69">
        <f t="shared" si="0"/>
        <v>0.44994115386539124</v>
      </c>
      <c r="I8" s="69">
        <f t="shared" si="0"/>
        <v>2.9389527983316288E-2</v>
      </c>
      <c r="J8" s="69">
        <f t="shared" si="0"/>
        <v>8.297210040816605E-2</v>
      </c>
      <c r="K8" s="69">
        <f t="shared" si="0"/>
        <v>4.9746371457606298E-2</v>
      </c>
      <c r="L8" s="69">
        <f t="shared" si="0"/>
        <v>3.6851173594238729E-2</v>
      </c>
      <c r="M8" s="69">
        <f t="shared" si="0"/>
        <v>3.6851173594242503E-2</v>
      </c>
    </row>
    <row r="9" spans="1:13" ht="16" customHeight="1" x14ac:dyDescent="0.15">
      <c r="A9" s="1235"/>
      <c r="B9" s="1184"/>
      <c r="C9" s="1" t="s">
        <v>31</v>
      </c>
      <c r="H9" s="63">
        <v>0.01</v>
      </c>
      <c r="I9" s="63">
        <v>0.01</v>
      </c>
      <c r="J9" s="63">
        <v>0.01</v>
      </c>
      <c r="K9" s="63">
        <v>0.01</v>
      </c>
      <c r="L9" s="63">
        <v>0.01</v>
      </c>
      <c r="M9" s="63">
        <v>0.01</v>
      </c>
    </row>
    <row r="10" spans="1:13" ht="16" customHeight="1" x14ac:dyDescent="0.15">
      <c r="A10" s="1235"/>
      <c r="B10" s="1184"/>
      <c r="C10" s="1" t="s">
        <v>32</v>
      </c>
      <c r="D10" s="4" t="s">
        <v>33</v>
      </c>
      <c r="H10" s="1">
        <v>3.43</v>
      </c>
      <c r="I10" s="1">
        <v>3.1</v>
      </c>
      <c r="J10" s="1">
        <v>2.38</v>
      </c>
      <c r="K10" s="1">
        <v>2.38</v>
      </c>
      <c r="L10" s="1">
        <v>2.38</v>
      </c>
      <c r="M10" s="1">
        <f>L10</f>
        <v>2.38</v>
      </c>
    </row>
    <row r="11" spans="1:13" ht="16" customHeight="1" x14ac:dyDescent="0.15">
      <c r="A11" s="1235"/>
      <c r="B11" s="1184"/>
      <c r="C11" s="1" t="s">
        <v>34</v>
      </c>
      <c r="D11" s="63">
        <f>'Domestic, Brazil estimate'!B22</f>
        <v>4.6990759509978552E-2</v>
      </c>
    </row>
    <row r="12" spans="1:13" ht="16" customHeight="1" x14ac:dyDescent="0.15">
      <c r="A12" s="1235"/>
      <c r="B12" s="1184"/>
      <c r="C12" s="1" t="s">
        <v>35</v>
      </c>
      <c r="D12" s="63">
        <f>4.1%</f>
        <v>4.0999999999999995E-2</v>
      </c>
    </row>
    <row r="13" spans="1:13" ht="16" customHeight="1" x14ac:dyDescent="0.15">
      <c r="A13" s="1235"/>
      <c r="B13" s="1184"/>
      <c r="C13" s="1" t="s">
        <v>36</v>
      </c>
      <c r="D13" s="63">
        <f>'Domestic, Brazil estimate'!B23</f>
        <v>3.3497113379365118E-2</v>
      </c>
    </row>
    <row r="14" spans="1:13" ht="16" customHeight="1" x14ac:dyDescent="0.15">
      <c r="A14" s="1235"/>
      <c r="B14" s="1184"/>
      <c r="C14" s="1" t="s">
        <v>37</v>
      </c>
      <c r="D14" s="39">
        <f>'Regression_Brazil '!B90</f>
        <v>0.96339276113326955</v>
      </c>
    </row>
    <row r="15" spans="1:13" ht="19" customHeight="1" thickBot="1" x14ac:dyDescent="0.2">
      <c r="A15" s="1235"/>
      <c r="B15" s="1185"/>
      <c r="C15" s="1" t="s">
        <v>38</v>
      </c>
      <c r="D15" s="70">
        <f>'Domestic, Brazil estimate'!C13/'Domestic, Brazil estimate'!C10</f>
        <v>0.99779994685385776</v>
      </c>
    </row>
    <row r="16" spans="1:13" ht="12" customHeight="1" thickBot="1" x14ac:dyDescent="0.2">
      <c r="A16" s="1235"/>
    </row>
    <row r="17" spans="1:20" ht="50" customHeight="1" x14ac:dyDescent="0.35">
      <c r="A17" s="1235"/>
      <c r="B17" s="1183" t="s">
        <v>39</v>
      </c>
      <c r="C17" s="1237" t="s">
        <v>40</v>
      </c>
      <c r="D17" s="1237"/>
      <c r="E17" s="236"/>
      <c r="F17" s="278"/>
      <c r="G17" s="236"/>
      <c r="H17" s="275"/>
      <c r="I17" s="276"/>
      <c r="K17" s="274"/>
    </row>
    <row r="18" spans="1:20" x14ac:dyDescent="0.15">
      <c r="A18" s="1235"/>
      <c r="B18" s="1184"/>
      <c r="C18" s="1" t="s">
        <v>41</v>
      </c>
      <c r="D18" s="224">
        <f>SUM(SS!BM79:BO79)/SUM(SS!AX79:AZ79)</f>
        <v>0.99955011495178625</v>
      </c>
    </row>
    <row r="19" spans="1:20" ht="20" customHeight="1" x14ac:dyDescent="0.15">
      <c r="A19" s="1235"/>
      <c r="B19" s="1184"/>
    </row>
    <row r="20" spans="1:20" ht="14" x14ac:dyDescent="0.2">
      <c r="A20" s="1235"/>
      <c r="B20" s="1184"/>
      <c r="C20" s="225" t="s">
        <v>42</v>
      </c>
    </row>
    <row r="21" spans="1:20" x14ac:dyDescent="0.15">
      <c r="A21" s="1235"/>
      <c r="B21" s="1184"/>
      <c r="C21" s="1" t="s">
        <v>43</v>
      </c>
      <c r="E21" s="63">
        <f>Bra_Mkt_Sh!J59</f>
        <v>0.61190547095175696</v>
      </c>
      <c r="F21" s="63">
        <f>Bra_Mkt_Sh!K59</f>
        <v>0.67056147208337979</v>
      </c>
      <c r="G21" s="63">
        <f>Bra_Mkt_Sh!L59</f>
        <v>0.68429228868522285</v>
      </c>
      <c r="H21" s="63">
        <f>Bra_Mkt_Sh!M59</f>
        <v>0.65547067622518629</v>
      </c>
      <c r="I21" s="63">
        <f>Bra_Mkt_Sh!N59</f>
        <v>0.65750202666135082</v>
      </c>
      <c r="J21" s="63">
        <f>Bra_Mkt_Sh!O59</f>
        <v>0.66167287847553735</v>
      </c>
      <c r="K21" s="63">
        <f>Bra_Mkt_Sh!P59</f>
        <v>0.66335940016633976</v>
      </c>
      <c r="L21" s="63">
        <f>Bra_Mkt_Sh!Q59</f>
        <v>0.66456434016831023</v>
      </c>
      <c r="M21" s="63">
        <f>Bra_Mkt_Sh!R59</f>
        <v>0.66572645487932869</v>
      </c>
    </row>
    <row r="22" spans="1:20" x14ac:dyDescent="0.15">
      <c r="A22" s="1235"/>
      <c r="B22" s="1184"/>
      <c r="C22" s="1" t="s">
        <v>44</v>
      </c>
      <c r="E22" s="63">
        <f>Bra_Mkt_Sh!J60</f>
        <v>0.34715697949493357</v>
      </c>
      <c r="F22" s="63">
        <f>Bra_Mkt_Sh!K60</f>
        <v>0.32492315345776157</v>
      </c>
      <c r="G22" s="63">
        <f>Bra_Mkt_Sh!L60</f>
        <v>0.30506081614431718</v>
      </c>
      <c r="H22" s="63">
        <f>Bra_Mkt_Sh!M60</f>
        <v>0.34050995244764731</v>
      </c>
      <c r="I22" s="63">
        <f>Bra_Mkt_Sh!N60</f>
        <v>0.3383078524079946</v>
      </c>
      <c r="J22" s="63">
        <f>Bra_Mkt_Sh!O60</f>
        <v>0.33215957211078689</v>
      </c>
      <c r="K22" s="63">
        <f>Bra_Mkt_Sh!P60</f>
        <v>0.32839587689688216</v>
      </c>
      <c r="L22" s="63">
        <f>Bra_Mkt_Sh!Q60</f>
        <v>0.32570689463048674</v>
      </c>
      <c r="M22" s="63">
        <f>Bra_Mkt_Sh!R60</f>
        <v>0.32311348263956979</v>
      </c>
    </row>
    <row r="23" spans="1:20" x14ac:dyDescent="0.15">
      <c r="A23" s="1235"/>
      <c r="B23" s="1184"/>
      <c r="C23" s="1" t="s">
        <v>45</v>
      </c>
      <c r="E23" s="63">
        <f>Bra_Mkt_Sh!J61</f>
        <v>4.0937549553309457E-2</v>
      </c>
      <c r="F23" s="63">
        <f>Bra_Mkt_Sh!K61</f>
        <v>4.5153744588586038E-3</v>
      </c>
      <c r="G23" s="63">
        <f>Bra_Mkt_Sh!L61</f>
        <v>1.0646895170459964E-2</v>
      </c>
      <c r="H23" s="63">
        <f>Bra_Mkt_Sh!M61</f>
        <v>4.0193713271663989E-3</v>
      </c>
      <c r="I23" s="63">
        <f>Bra_Mkt_Sh!N61</f>
        <v>4.1901209306546092E-3</v>
      </c>
      <c r="J23" s="63">
        <f>Bra_Mkt_Sh!O61</f>
        <v>6.167549413675759E-3</v>
      </c>
      <c r="K23" s="63">
        <f>Bra_Mkt_Sh!P61</f>
        <v>8.2447229367780712E-3</v>
      </c>
      <c r="L23" s="63">
        <f>Bra_Mkt_Sh!Q61</f>
        <v>9.7287652012028915E-3</v>
      </c>
      <c r="M23" s="63">
        <f>Bra_Mkt_Sh!R61</f>
        <v>1.116006248110136E-2</v>
      </c>
    </row>
    <row r="24" spans="1:20" ht="12" customHeight="1" x14ac:dyDescent="0.15">
      <c r="A24" s="1235"/>
      <c r="B24" s="1184"/>
    </row>
    <row r="25" spans="1:20" ht="15" x14ac:dyDescent="0.2">
      <c r="A25" s="1235"/>
      <c r="B25" s="1184"/>
      <c r="C25" s="1" t="s">
        <v>46</v>
      </c>
      <c r="D25" s="228"/>
      <c r="E25" s="230">
        <f>Bra_Mkt_Sh!J65</f>
        <v>33483073.000000004</v>
      </c>
      <c r="F25" s="230">
        <f>Bra_Mkt_Sh!K65</f>
        <v>15822305.999999998</v>
      </c>
      <c r="G25" s="230">
        <f>Bra_Mkt_Sh!L65</f>
        <v>20247851</v>
      </c>
      <c r="H25" s="230">
        <f>Bra_Mkt_Sh!M65</f>
        <v>32769717.326544225</v>
      </c>
      <c r="I25" s="230">
        <f>Bra_Mkt_Sh!N65</f>
        <v>33514651.611420378</v>
      </c>
      <c r="J25" s="230">
        <f>Bra_Mkt_Sh!O65</f>
        <v>35635813.040730737</v>
      </c>
      <c r="K25" s="230">
        <f>Bra_Mkt_Sh!P65</f>
        <v>36984689.530110471</v>
      </c>
      <c r="L25" s="230">
        <f>Bra_Mkt_Sh!Q65</f>
        <v>38033619.470825978</v>
      </c>
      <c r="M25" s="230">
        <f>Bra_Mkt_Sh!R65</f>
        <v>39121203.710875101</v>
      </c>
      <c r="N25" s="230"/>
      <c r="O25" s="230"/>
      <c r="P25" s="230"/>
      <c r="Q25" s="230"/>
      <c r="R25" s="230"/>
      <c r="S25" s="230"/>
      <c r="T25" s="229"/>
    </row>
    <row r="26" spans="1:20" ht="14" x14ac:dyDescent="0.2">
      <c r="A26" s="1235"/>
      <c r="B26" s="1184"/>
      <c r="C26" s="1" t="s">
        <v>47</v>
      </c>
      <c r="D26" s="232">
        <f>H25/E25</f>
        <v>0.97869503574370909</v>
      </c>
    </row>
    <row r="27" spans="1:20" ht="14" thickBot="1" x14ac:dyDescent="0.2">
      <c r="A27" s="1235"/>
      <c r="B27" s="1185"/>
      <c r="C27" s="1" t="s">
        <v>48</v>
      </c>
    </row>
    <row r="28" spans="1:20" ht="14" thickBot="1" x14ac:dyDescent="0.2">
      <c r="A28" s="1235"/>
      <c r="B28" s="226"/>
    </row>
    <row r="29" spans="1:20" ht="33" customHeight="1" x14ac:dyDescent="0.15">
      <c r="A29" s="1235"/>
      <c r="B29" s="1183" t="s">
        <v>49</v>
      </c>
      <c r="C29" s="1237" t="s">
        <v>50</v>
      </c>
      <c r="D29" s="1237"/>
    </row>
    <row r="30" spans="1:20" ht="16" customHeight="1" x14ac:dyDescent="0.15">
      <c r="A30" s="1235"/>
      <c r="B30" s="1184"/>
      <c r="C30" s="1" t="s">
        <v>51</v>
      </c>
      <c r="E30" s="235">
        <v>3949.8</v>
      </c>
      <c r="F30" s="235">
        <v>1304</v>
      </c>
      <c r="G30" s="235">
        <v>1664.5</v>
      </c>
      <c r="H30" s="234"/>
      <c r="I30" s="234"/>
      <c r="J30" s="234"/>
      <c r="K30" s="234"/>
      <c r="L30" s="234"/>
      <c r="M30" s="234"/>
    </row>
    <row r="31" spans="1:20" ht="16" customHeight="1" x14ac:dyDescent="0.15">
      <c r="A31" s="1235"/>
      <c r="B31" s="1184"/>
      <c r="C31" s="1" t="s">
        <v>52</v>
      </c>
      <c r="E31" s="70">
        <f>E30/(E25/1000)</f>
        <v>0.11796408292631921</v>
      </c>
      <c r="F31" s="70">
        <f>F30/(F25/1000)</f>
        <v>8.2415293952727245E-2</v>
      </c>
      <c r="G31" s="70">
        <f>G30/(G25/1000)</f>
        <v>8.2206254876134754E-2</v>
      </c>
    </row>
    <row r="32" spans="1:20" ht="16" customHeight="1" x14ac:dyDescent="0.15">
      <c r="A32" s="1235"/>
      <c r="B32" s="1184"/>
      <c r="C32" s="1" t="s">
        <v>53</v>
      </c>
      <c r="E32" s="233">
        <v>3.97760275</v>
      </c>
      <c r="F32" s="233">
        <v>5.3540347499999994</v>
      </c>
      <c r="G32" s="233">
        <v>5.4278000000000004</v>
      </c>
    </row>
    <row r="33" spans="1:13" ht="16" customHeight="1" x14ac:dyDescent="0.15">
      <c r="A33" s="1235"/>
      <c r="B33" s="1184"/>
      <c r="C33" s="1" t="s">
        <v>54</v>
      </c>
      <c r="E33" s="70">
        <f>E30*E32/(E25/1000)</f>
        <v>0.46921426064895533</v>
      </c>
      <c r="F33" s="70">
        <f>F30*F32/(F25/1000)</f>
        <v>0.4412543477543665</v>
      </c>
      <c r="G33" s="70">
        <f>G30*G32/(G25/1000)</f>
        <v>0.44619911021668435</v>
      </c>
      <c r="H33" s="63">
        <f>H37*(1+H36)</f>
        <v>0.44351344178878327</v>
      </c>
      <c r="I33" s="63">
        <f t="shared" ref="I33:M33" si="1">I37*(1+I36)</f>
        <v>0.46524560043643359</v>
      </c>
      <c r="J33" s="63">
        <f t="shared" si="1"/>
        <v>0.48152919645170872</v>
      </c>
      <c r="K33" s="63">
        <f>K37*(1+K36)</f>
        <v>0.4971788953363892</v>
      </c>
      <c r="L33" s="63">
        <f t="shared" si="1"/>
        <v>0.51333720943482186</v>
      </c>
      <c r="M33" s="63">
        <f t="shared" si="1"/>
        <v>0.53002066874145359</v>
      </c>
    </row>
    <row r="34" spans="1:13" ht="16" customHeight="1" x14ac:dyDescent="0.15">
      <c r="A34" s="1235"/>
      <c r="B34" s="1184"/>
      <c r="C34" s="1" t="s">
        <v>55</v>
      </c>
      <c r="E34" s="70">
        <v>3.73E-2</v>
      </c>
      <c r="F34" s="70">
        <v>3.2099999999999997E-2</v>
      </c>
      <c r="G34" s="70">
        <v>8.3000000000000004E-2</v>
      </c>
      <c r="H34" s="70">
        <v>6.5000000000000002E-2</v>
      </c>
      <c r="I34" s="70">
        <v>4.9000000000000002E-2</v>
      </c>
      <c r="J34" s="70">
        <v>3.5000000000000003E-2</v>
      </c>
      <c r="K34" s="70">
        <v>3.2500000000000001E-2</v>
      </c>
      <c r="L34" s="70">
        <v>3.2500000000000001E-2</v>
      </c>
      <c r="M34" s="70">
        <v>3.2500000000000001E-2</v>
      </c>
    </row>
    <row r="35" spans="1:13" ht="16" customHeight="1" x14ac:dyDescent="0.15">
      <c r="A35" s="1235"/>
      <c r="B35" s="1184"/>
      <c r="C35" s="1" t="s">
        <v>56</v>
      </c>
      <c r="E35" s="70">
        <v>3.73E-2</v>
      </c>
      <c r="F35" s="70">
        <v>7.0597330000000236E-2</v>
      </c>
      <c r="G35" s="70">
        <v>0.15945690839000015</v>
      </c>
      <c r="H35" s="70">
        <v>0.23482160743535019</v>
      </c>
      <c r="I35" s="70">
        <v>0.29532786619968232</v>
      </c>
      <c r="J35" s="70">
        <v>0.34066434151667102</v>
      </c>
      <c r="K35" s="70">
        <v>0.38423593261596278</v>
      </c>
      <c r="L35" s="70">
        <v>0.42922360042598151</v>
      </c>
      <c r="M35" s="70">
        <v>0.47567336743982591</v>
      </c>
    </row>
    <row r="36" spans="1:13" ht="16" customHeight="1" x14ac:dyDescent="0.15">
      <c r="A36" s="1235"/>
      <c r="B36" s="1184"/>
      <c r="C36" s="1" t="s">
        <v>57</v>
      </c>
      <c r="E36" s="237" t="s">
        <v>58</v>
      </c>
      <c r="F36" s="237" t="s">
        <v>58</v>
      </c>
      <c r="G36" s="237" t="s">
        <v>58</v>
      </c>
      <c r="H36" s="70">
        <f>H34</f>
        <v>6.5000000000000002E-2</v>
      </c>
      <c r="I36" s="70">
        <f>(1+H36)*(1+I34)-1</f>
        <v>0.11718499999999987</v>
      </c>
      <c r="J36" s="70">
        <f t="shared" ref="J36:M36" si="2">(1+I36)*(1+J34)-1</f>
        <v>0.1562864749999997</v>
      </c>
      <c r="K36" s="70">
        <f t="shared" si="2"/>
        <v>0.19386578543749966</v>
      </c>
      <c r="L36" s="70">
        <f t="shared" si="2"/>
        <v>0.2326664234642184</v>
      </c>
      <c r="M36" s="70">
        <f t="shared" si="2"/>
        <v>0.27272808222680545</v>
      </c>
    </row>
    <row r="37" spans="1:13" ht="16" customHeight="1" x14ac:dyDescent="0.15">
      <c r="A37" s="1235"/>
      <c r="B37" s="1184"/>
      <c r="C37" s="1" t="s">
        <v>59</v>
      </c>
      <c r="E37" s="63">
        <f>E33/(1+E35)</f>
        <v>0.45234190749923386</v>
      </c>
      <c r="F37" s="63">
        <f t="shared" ref="F37:G37" si="3">F33/(1+F35)</f>
        <v>0.41215715319817436</v>
      </c>
      <c r="G37" s="63">
        <f t="shared" si="3"/>
        <v>0.38483457814423477</v>
      </c>
      <c r="H37" s="63">
        <f t="shared" ref="H37:M37" si="4">AVERAGE($E$37:$G$37)</f>
        <v>0.41644454628054767</v>
      </c>
      <c r="I37" s="63">
        <f t="shared" si="4"/>
        <v>0.41644454628054767</v>
      </c>
      <c r="J37" s="63">
        <f t="shared" si="4"/>
        <v>0.41644454628054767</v>
      </c>
      <c r="K37" s="63">
        <f t="shared" si="4"/>
        <v>0.41644454628054767</v>
      </c>
      <c r="L37" s="63">
        <f t="shared" si="4"/>
        <v>0.41644454628054767</v>
      </c>
      <c r="M37" s="63">
        <f t="shared" si="4"/>
        <v>0.41644454628054767</v>
      </c>
    </row>
    <row r="38" spans="1:13" ht="16" customHeight="1" x14ac:dyDescent="0.15">
      <c r="A38" s="1235"/>
      <c r="B38" s="1184"/>
      <c r="C38" s="1" t="s">
        <v>60</v>
      </c>
      <c r="E38" s="230">
        <f>E30*E32</f>
        <v>15710.735341950001</v>
      </c>
      <c r="F38" s="230">
        <f>F30*F32</f>
        <v>6981.661313999999</v>
      </c>
      <c r="G38" s="230">
        <f>G30*G32</f>
        <v>9034.5731000000014</v>
      </c>
      <c r="H38" s="230">
        <f>H33*H25/1000</f>
        <v>14533.810117941153</v>
      </c>
      <c r="I38" s="230">
        <f t="shared" ref="I38:M38" si="5">I33*I25/1000</f>
        <v>15592.544212373159</v>
      </c>
      <c r="J38" s="230">
        <f t="shared" si="5"/>
        <v>17159.684418406392</v>
      </c>
      <c r="K38" s="230">
        <f t="shared" si="5"/>
        <v>18388.007084939643</v>
      </c>
      <c r="L38" s="230">
        <f t="shared" si="5"/>
        <v>19524.072083859712</v>
      </c>
      <c r="M38" s="230">
        <f t="shared" si="5"/>
        <v>20735.046552808657</v>
      </c>
    </row>
    <row r="39" spans="1:13" ht="16" customHeight="1" x14ac:dyDescent="0.15">
      <c r="A39" s="1235"/>
      <c r="B39" s="1184"/>
      <c r="C39" s="1" t="s">
        <v>61</v>
      </c>
      <c r="F39" s="70">
        <f t="shared" ref="F39:M39" si="6">F38/E38-1</f>
        <v>-0.55561206003146624</v>
      </c>
      <c r="G39" s="70">
        <f t="shared" si="6"/>
        <v>0.29404345093099749</v>
      </c>
      <c r="H39" s="70">
        <f t="shared" si="6"/>
        <v>0.60868808709303046</v>
      </c>
      <c r="I39" s="70">
        <f t="shared" si="6"/>
        <v>7.2846286406690997E-2</v>
      </c>
      <c r="J39" s="70">
        <f t="shared" si="6"/>
        <v>0.10050574073663099</v>
      </c>
      <c r="K39" s="70">
        <f t="shared" si="6"/>
        <v>7.1581891402133557E-2</v>
      </c>
      <c r="L39" s="70">
        <f t="shared" si="6"/>
        <v>6.178293241199273E-2</v>
      </c>
      <c r="M39" s="70">
        <f t="shared" si="6"/>
        <v>6.2024687460052963E-2</v>
      </c>
    </row>
    <row r="40" spans="1:13" ht="16" customHeight="1" x14ac:dyDescent="0.2">
      <c r="A40" s="1235"/>
      <c r="B40" s="1184"/>
      <c r="C40" s="231" t="s">
        <v>62</v>
      </c>
      <c r="D40" s="231">
        <f>(M38/E38)^(1/8)-1</f>
        <v>3.5293679782328446E-2</v>
      </c>
      <c r="F40" s="70"/>
      <c r="G40" s="70"/>
      <c r="H40" s="70"/>
      <c r="I40" s="70"/>
      <c r="J40" s="70"/>
      <c r="K40" s="70"/>
      <c r="L40" s="70"/>
      <c r="M40" s="70"/>
    </row>
    <row r="41" spans="1:13" ht="16" customHeight="1" thickBot="1" x14ac:dyDescent="0.25">
      <c r="A41" s="1235"/>
      <c r="B41" s="1185"/>
      <c r="C41" s="231" t="s">
        <v>34</v>
      </c>
      <c r="D41" s="231">
        <f>(M38/I38)^(1/5)-1</f>
        <v>5.8662686159460353E-2</v>
      </c>
    </row>
    <row r="42" spans="1:13" ht="16" customHeight="1" thickBot="1" x14ac:dyDescent="0.25">
      <c r="A42" s="1235"/>
      <c r="B42" s="227"/>
      <c r="C42" s="231"/>
      <c r="D42" s="231"/>
    </row>
    <row r="43" spans="1:13" ht="16" customHeight="1" x14ac:dyDescent="0.15">
      <c r="A43" s="1235"/>
      <c r="B43" s="1183" t="s">
        <v>63</v>
      </c>
      <c r="C43" s="1182" t="s">
        <v>64</v>
      </c>
      <c r="D43" s="1182"/>
      <c r="F43" s="70"/>
      <c r="G43" s="70"/>
    </row>
    <row r="44" spans="1:13" ht="26" customHeight="1" thickBot="1" x14ac:dyDescent="0.2">
      <c r="A44" s="1235"/>
      <c r="B44" s="1185"/>
      <c r="C44" s="1" t="s">
        <v>65</v>
      </c>
      <c r="F44" s="70"/>
      <c r="G44" s="70"/>
      <c r="H44" s="258">
        <f>1/Futures_provvisorio!B3</f>
        <v>5.3561863952865556</v>
      </c>
      <c r="I44" s="258">
        <f>1/AVERAGE(Futures_provvisorio!B4:B15)</f>
        <v>5.5437494225261013</v>
      </c>
      <c r="J44" s="258">
        <f>1/AVERAGE(Futures_provvisorio!B16:B27)</f>
        <v>5.9161387334532991</v>
      </c>
      <c r="K44" s="258">
        <f>1/AVERAGE(Futures_provvisorio!B28:B39)</f>
        <v>6.2904620868607957</v>
      </c>
      <c r="L44" s="258">
        <f>1/AVERAGE(Futures_provvisorio!B40:B51)</f>
        <v>6.6644451849383541</v>
      </c>
      <c r="M44" s="258">
        <f>1/AVERAGE(Futures_provvisorio!B52:B62)</f>
        <v>7.0226960768666009</v>
      </c>
    </row>
    <row r="45" spans="1:13" ht="16" customHeight="1" thickBot="1" x14ac:dyDescent="0.2">
      <c r="A45" s="1235"/>
      <c r="B45" s="226"/>
      <c r="F45" s="70"/>
      <c r="G45" s="70"/>
      <c r="H45" s="70"/>
      <c r="I45" s="70"/>
      <c r="J45" s="70"/>
      <c r="K45" s="70"/>
      <c r="L45" s="70"/>
      <c r="M45" s="70"/>
    </row>
    <row r="46" spans="1:13" ht="50" customHeight="1" x14ac:dyDescent="0.15">
      <c r="A46" s="1235"/>
      <c r="B46" s="1183" t="s">
        <v>66</v>
      </c>
      <c r="C46" s="1" t="s">
        <v>67</v>
      </c>
      <c r="E46" s="230"/>
      <c r="F46" s="230"/>
      <c r="G46" s="230"/>
      <c r="H46" s="230">
        <f>H38/H44</f>
        <v>2713.4623490196136</v>
      </c>
      <c r="I46" s="230">
        <f t="shared" ref="I46:M46" si="7">I38/I44</f>
        <v>2812.6351001752455</v>
      </c>
      <c r="J46" s="230">
        <f t="shared" si="7"/>
        <v>2900.4871575062175</v>
      </c>
      <c r="K46" s="230">
        <f t="shared" si="7"/>
        <v>2923.1568096320934</v>
      </c>
      <c r="L46" s="230">
        <f t="shared" si="7"/>
        <v>2929.5870161831494</v>
      </c>
      <c r="M46" s="230">
        <f t="shared" si="7"/>
        <v>2952.5763789083489</v>
      </c>
    </row>
    <row r="47" spans="1:13" ht="50" customHeight="1" thickBot="1" x14ac:dyDescent="0.2">
      <c r="A47" s="1235"/>
      <c r="B47" s="1185"/>
      <c r="F47" s="70"/>
      <c r="G47" s="70"/>
      <c r="H47" s="70"/>
      <c r="I47" s="70"/>
      <c r="J47" s="70"/>
      <c r="K47" s="70"/>
      <c r="L47" s="70"/>
      <c r="M47" s="70"/>
    </row>
    <row r="48" spans="1:13" ht="16" customHeight="1" x14ac:dyDescent="0.15">
      <c r="B48" s="227"/>
      <c r="F48" s="70"/>
      <c r="G48" s="70"/>
      <c r="H48" s="70"/>
      <c r="I48" s="70"/>
      <c r="J48" s="70"/>
      <c r="K48" s="70"/>
      <c r="L48" s="70"/>
      <c r="M48" s="70"/>
    </row>
    <row r="49" spans="1:13" ht="86" customHeight="1" thickBot="1" x14ac:dyDescent="0.2">
      <c r="B49" s="227"/>
      <c r="F49" s="70"/>
      <c r="G49" s="70"/>
      <c r="H49" s="70"/>
      <c r="I49" s="70"/>
      <c r="J49" s="70"/>
      <c r="K49" s="70"/>
      <c r="L49" s="70"/>
      <c r="M49" s="70"/>
    </row>
    <row r="50" spans="1:13" ht="54" customHeight="1" x14ac:dyDescent="0.15">
      <c r="A50" s="1238" t="s">
        <v>68</v>
      </c>
      <c r="B50" s="1183" t="s">
        <v>69</v>
      </c>
      <c r="C50" s="1239" t="s">
        <v>70</v>
      </c>
      <c r="D50" s="1239"/>
      <c r="E50" s="230">
        <f>SSC_Mkt_Sh!K25</f>
        <v>58822802</v>
      </c>
      <c r="F50" s="230">
        <f>SSC_Mkt_Sh!L25</f>
        <v>21481765</v>
      </c>
      <c r="G50" s="230">
        <f>SSC_Mkt_Sh!M25</f>
        <v>41531109</v>
      </c>
      <c r="H50" s="230">
        <f>SSC_Mkt_Sh!N25</f>
        <v>61695849.997994058</v>
      </c>
      <c r="I50" s="230">
        <f>SSC_Mkt_Sh!O25</f>
        <v>65504039.642803125</v>
      </c>
      <c r="J50" s="230">
        <f>SSC_Mkt_Sh!P25</f>
        <v>73662984.403164417</v>
      </c>
      <c r="K50" s="230">
        <f>SSC_Mkt_Sh!Q25</f>
        <v>75470842.11364615</v>
      </c>
      <c r="L50" s="230">
        <f>SSC_Mkt_Sh!R25</f>
        <v>77323068.777244136</v>
      </c>
      <c r="M50" s="230">
        <f>SSC_Mkt_Sh!S25</f>
        <v>79220753.309301808</v>
      </c>
    </row>
    <row r="51" spans="1:13" ht="14" x14ac:dyDescent="0.15">
      <c r="A51" s="1238"/>
      <c r="B51" s="1184"/>
      <c r="C51" s="287" t="s">
        <v>30</v>
      </c>
      <c r="D51" s="277"/>
      <c r="E51" s="66"/>
      <c r="F51" s="69">
        <f>F50/E50-1</f>
        <v>-0.63480547900455342</v>
      </c>
      <c r="G51" s="69">
        <f t="shared" ref="G51:M51" si="8">G50/F50-1</f>
        <v>0.93331921283004449</v>
      </c>
      <c r="H51" s="69">
        <f t="shared" si="8"/>
        <v>0.48553341058130806</v>
      </c>
      <c r="I51" s="69">
        <f t="shared" si="8"/>
        <v>6.1725215633351205E-2</v>
      </c>
      <c r="J51" s="69">
        <f t="shared" si="8"/>
        <v>0.12455636026193861</v>
      </c>
      <c r="K51" s="69">
        <f t="shared" si="8"/>
        <v>2.4542281651082076E-2</v>
      </c>
      <c r="L51" s="69">
        <f t="shared" si="8"/>
        <v>2.4542281651089182E-2</v>
      </c>
      <c r="M51" s="69">
        <f t="shared" si="8"/>
        <v>2.4542281651089182E-2</v>
      </c>
    </row>
    <row r="52" spans="1:13" x14ac:dyDescent="0.15">
      <c r="A52" s="1238"/>
      <c r="B52" s="1184"/>
      <c r="C52" s="1" t="s">
        <v>71</v>
      </c>
      <c r="G52" s="63"/>
      <c r="H52" s="63">
        <v>0.01</v>
      </c>
      <c r="I52" s="63">
        <v>0.01</v>
      </c>
      <c r="J52" s="63">
        <v>0.01</v>
      </c>
      <c r="K52" s="63">
        <v>0.01</v>
      </c>
      <c r="L52" s="63">
        <v>0.01</v>
      </c>
      <c r="M52" s="63">
        <v>0.01</v>
      </c>
    </row>
    <row r="53" spans="1:13" x14ac:dyDescent="0.15">
      <c r="A53" s="1238"/>
      <c r="B53" s="1184"/>
      <c r="C53" s="1" t="s">
        <v>32</v>
      </c>
      <c r="D53" s="4" t="s">
        <v>33</v>
      </c>
      <c r="H53" s="1">
        <v>3.43</v>
      </c>
      <c r="I53" s="1">
        <v>3.1</v>
      </c>
      <c r="J53" s="1">
        <v>2.38</v>
      </c>
      <c r="K53" s="1">
        <v>2.38</v>
      </c>
      <c r="L53" s="1">
        <v>2.38</v>
      </c>
      <c r="M53" s="1">
        <f>L53</f>
        <v>2.38</v>
      </c>
    </row>
    <row r="54" spans="1:13" x14ac:dyDescent="0.15">
      <c r="A54" s="1238"/>
      <c r="B54" s="1184"/>
      <c r="C54" s="1" t="s">
        <v>34</v>
      </c>
      <c r="D54" s="63">
        <f>(M50/H50)^(1/5)-1</f>
        <v>5.1275644931383368E-2</v>
      </c>
    </row>
    <row r="55" spans="1:13" x14ac:dyDescent="0.15">
      <c r="A55" s="1238"/>
      <c r="B55" s="1184"/>
      <c r="C55" s="1" t="s">
        <v>35</v>
      </c>
      <c r="D55" s="63">
        <f>4.1%</f>
        <v>4.0999999999999995E-2</v>
      </c>
    </row>
    <row r="56" spans="1:13" x14ac:dyDescent="0.15">
      <c r="A56" s="1238"/>
      <c r="B56" s="1184"/>
      <c r="C56" s="1" t="s">
        <v>72</v>
      </c>
      <c r="D56" s="63">
        <f>(M50/E50)^(1/8)-1</f>
        <v>3.7914686968328226E-2</v>
      </c>
    </row>
    <row r="57" spans="1:13" x14ac:dyDescent="0.15">
      <c r="A57" s="1238"/>
      <c r="B57" s="1184"/>
      <c r="C57" s="1" t="s">
        <v>37</v>
      </c>
      <c r="D57" s="39">
        <f>SSC_regression!K10</f>
        <v>0.98403154928784398</v>
      </c>
    </row>
    <row r="58" spans="1:13" ht="31" customHeight="1" thickBot="1" x14ac:dyDescent="0.2">
      <c r="A58" s="1238"/>
      <c r="B58" s="1185"/>
      <c r="C58" s="1" t="s">
        <v>38</v>
      </c>
      <c r="D58" s="70">
        <f>H50/E50</f>
        <v>1.048842419951264</v>
      </c>
    </row>
    <row r="59" spans="1:13" ht="14" thickBot="1" x14ac:dyDescent="0.2">
      <c r="A59" s="1238"/>
    </row>
    <row r="60" spans="1:13" ht="41" customHeight="1" x14ac:dyDescent="0.15">
      <c r="A60" s="1238"/>
      <c r="B60" s="1183" t="s">
        <v>39</v>
      </c>
      <c r="C60" s="1239" t="s">
        <v>73</v>
      </c>
      <c r="D60" s="1239"/>
    </row>
    <row r="61" spans="1:13" x14ac:dyDescent="0.15">
      <c r="A61" s="1238"/>
      <c r="B61" s="1184"/>
    </row>
    <row r="62" spans="1:13" ht="14" x14ac:dyDescent="0.2">
      <c r="A62" s="1238"/>
      <c r="B62" s="1184"/>
      <c r="C62" s="225" t="s">
        <v>42</v>
      </c>
    </row>
    <row r="63" spans="1:13" x14ac:dyDescent="0.15">
      <c r="A63" s="1238"/>
      <c r="B63" s="1184"/>
      <c r="C63" s="1" t="str">
        <f>SSC_Mkt_Sh!A54</f>
        <v>LATAM</v>
      </c>
      <c r="E63" s="63">
        <f>SSC_Mkt_Sh!K54</f>
        <v>0.39640235091147136</v>
      </c>
      <c r="F63" s="63">
        <f>SSC_Mkt_Sh!L54</f>
        <v>0.41564545557592686</v>
      </c>
      <c r="G63" s="63">
        <f>SSC_Mkt_Sh!M54</f>
        <v>0.40412994991296763</v>
      </c>
      <c r="H63" s="63">
        <f>SSC_Mkt_Sh!N54</f>
        <v>0.38649271319717521</v>
      </c>
      <c r="I63" s="63">
        <f>SSC_Mkt_Sh!O54</f>
        <v>0.38438086883915912</v>
      </c>
      <c r="J63" s="63">
        <f>SSC_Mkt_Sh!P54</f>
        <v>0.38059135083539336</v>
      </c>
      <c r="K63" s="63">
        <f>SSC_Mkt_Sh!Q54</f>
        <v>0.37986255964264948</v>
      </c>
      <c r="L63" s="63">
        <f>SSC_Mkt_Sh!R54</f>
        <v>0.37915122619570801</v>
      </c>
      <c r="M63" s="63">
        <f>SSC_Mkt_Sh!S54</f>
        <v>0.3784569323049814</v>
      </c>
    </row>
    <row r="64" spans="1:13" x14ac:dyDescent="0.15">
      <c r="A64" s="1238"/>
      <c r="B64" s="1184"/>
      <c r="C64" s="1" t="str">
        <f>SSC_Mkt_Sh!A55</f>
        <v>LOW COST CARRIERS</v>
      </c>
      <c r="E64" s="63">
        <f>SSC_Mkt_Sh!K55</f>
        <v>0.28651846608735165</v>
      </c>
      <c r="F64" s="63">
        <f>SSC_Mkt_Sh!L55</f>
        <v>0.34612011629398237</v>
      </c>
      <c r="G64" s="63">
        <f>SSC_Mkt_Sh!M55</f>
        <v>0.3466334115951491</v>
      </c>
      <c r="H64" s="63">
        <f>SSC_Mkt_Sh!N55</f>
        <v>0.40462054054499441</v>
      </c>
      <c r="I64" s="63">
        <f>SSC_Mkt_Sh!O55</f>
        <v>0.41156379322587677</v>
      </c>
      <c r="J64" s="63">
        <f>SSC_Mkt_Sh!P55</f>
        <v>0.42402284634644699</v>
      </c>
      <c r="K64" s="63">
        <f>SSC_Mkt_Sh!Q55</f>
        <v>0.4264189421494427</v>
      </c>
      <c r="L64" s="63">
        <f>SSC_Mkt_Sh!R55</f>
        <v>0.42875764094783197</v>
      </c>
      <c r="M64" s="63">
        <f>SSC_Mkt_Sh!S55</f>
        <v>0.43104031765163803</v>
      </c>
    </row>
    <row r="65" spans="1:13" x14ac:dyDescent="0.15">
      <c r="A65" s="1238"/>
      <c r="B65" s="1184"/>
      <c r="C65" s="1" t="str">
        <f>SSC_Mkt_Sh!A56</f>
        <v>AVIANCA</v>
      </c>
      <c r="E65" s="63">
        <f>SSC_Mkt_Sh!K56</f>
        <v>0.26203778935930322</v>
      </c>
      <c r="F65" s="63">
        <f>SSC_Mkt_Sh!L56</f>
        <v>0.20381193072356951</v>
      </c>
      <c r="G65" s="63">
        <f>SSC_Mkt_Sh!M56</f>
        <v>0.21940639726235098</v>
      </c>
      <c r="H65" s="63">
        <f>SSC_Mkt_Sh!N56</f>
        <v>0.1670770277127834</v>
      </c>
      <c r="I65" s="63">
        <f>SSC_Mkt_Sh!O56</f>
        <v>0.16081122283514965</v>
      </c>
      <c r="J65" s="63">
        <f>SSC_Mkt_Sh!P56</f>
        <v>0.1495677899080268</v>
      </c>
      <c r="K65" s="63">
        <f>SSC_Mkt_Sh!Q56</f>
        <v>0.1474054793225246</v>
      </c>
      <c r="L65" s="63">
        <f>SSC_Mkt_Sh!R56</f>
        <v>0.14529496556020513</v>
      </c>
      <c r="M65" s="63">
        <f>SSC_Mkt_Sh!S56</f>
        <v>0.14323500785995455</v>
      </c>
    </row>
    <row r="66" spans="1:13" x14ac:dyDescent="0.15">
      <c r="A66" s="1238"/>
      <c r="B66" s="1184"/>
      <c r="C66" s="1" t="str">
        <f>SSC_Mkt_Sh!A57</f>
        <v>OTHERS</v>
      </c>
      <c r="E66" s="63">
        <f>SSC_Mkt_Sh!K57</f>
        <v>5.5041393641873777E-2</v>
      </c>
      <c r="F66" s="63">
        <f>SSC_Mkt_Sh!L57</f>
        <v>3.4422497406521299E-2</v>
      </c>
      <c r="G66" s="63">
        <f>SSC_Mkt_Sh!M57</f>
        <v>2.98302412295323E-2</v>
      </c>
      <c r="H66" s="63">
        <f>SSC_Mkt_Sh!N57</f>
        <v>4.1809718545046878E-2</v>
      </c>
      <c r="I66" s="63">
        <f>SSC_Mkt_Sh!O57</f>
        <v>4.3244115099814365E-2</v>
      </c>
      <c r="J66" s="63">
        <f>SSC_Mkt_Sh!P57</f>
        <v>4.5818012910132835E-2</v>
      </c>
      <c r="K66" s="63">
        <f>SSC_Mkt_Sh!Q57</f>
        <v>4.6313018885383202E-2</v>
      </c>
      <c r="L66" s="63">
        <f>SSC_Mkt_Sh!R57</f>
        <v>4.6796167296254819E-2</v>
      </c>
      <c r="M66" s="63">
        <f>SSC_Mkt_Sh!S57</f>
        <v>4.7267742183425908E-2</v>
      </c>
    </row>
    <row r="67" spans="1:13" x14ac:dyDescent="0.15">
      <c r="A67" s="1238"/>
      <c r="B67" s="1184"/>
    </row>
    <row r="68" spans="1:13" ht="15" x14ac:dyDescent="0.2">
      <c r="A68" s="1238"/>
      <c r="B68" s="1184"/>
      <c r="C68" s="1" t="s">
        <v>74</v>
      </c>
      <c r="D68" s="228"/>
      <c r="E68" s="230">
        <f>SSC_Mkt_Sh!K29</f>
        <v>23317497</v>
      </c>
      <c r="F68" s="230">
        <f>SSC_Mkt_Sh!L29</f>
        <v>8928798</v>
      </c>
      <c r="G68" s="230">
        <f>SSC_Mkt_Sh!M29</f>
        <v>16783965</v>
      </c>
      <c r="H68" s="230">
        <f t="shared" ref="H68:M68" si="9">H63*H50</f>
        <v>23844996.45873066</v>
      </c>
      <c r="I68" s="230">
        <f t="shared" si="9"/>
        <v>25178499.670375388</v>
      </c>
      <c r="J68" s="230">
        <f t="shared" si="9"/>
        <v>28035494.740566857</v>
      </c>
      <c r="K68" s="230">
        <f t="shared" si="9"/>
        <v>28668547.263675891</v>
      </c>
      <c r="L68" s="230">
        <f t="shared" si="9"/>
        <v>29317136.34010718</v>
      </c>
      <c r="M68" s="230">
        <f t="shared" si="9"/>
        <v>29981643.272328064</v>
      </c>
    </row>
    <row r="69" spans="1:13" ht="14" x14ac:dyDescent="0.2">
      <c r="A69" s="1238"/>
      <c r="B69" s="1184"/>
      <c r="C69" s="1" t="s">
        <v>47</v>
      </c>
      <c r="D69" s="232">
        <f>H68/E68</f>
        <v>1.0226224735326721</v>
      </c>
    </row>
    <row r="70" spans="1:13" ht="14" thickBot="1" x14ac:dyDescent="0.2">
      <c r="A70" s="1238"/>
      <c r="B70" s="1185"/>
      <c r="C70" s="1" t="s">
        <v>48</v>
      </c>
    </row>
    <row r="71" spans="1:13" ht="14" thickBot="1" x14ac:dyDescent="0.2">
      <c r="A71" s="1238"/>
    </row>
    <row r="72" spans="1:13" ht="16" customHeight="1" x14ac:dyDescent="0.2">
      <c r="A72" s="1238"/>
      <c r="B72" s="1183" t="s">
        <v>75</v>
      </c>
      <c r="C72" s="1" t="s">
        <v>76</v>
      </c>
      <c r="E72" s="1">
        <v>802</v>
      </c>
      <c r="F72" s="1">
        <v>297.5</v>
      </c>
      <c r="G72" s="1">
        <v>503.6</v>
      </c>
      <c r="H72" s="279"/>
      <c r="I72" s="279"/>
      <c r="J72" s="279"/>
      <c r="K72" s="279"/>
      <c r="L72" s="279"/>
      <c r="M72" s="279"/>
    </row>
    <row r="73" spans="1:13" x14ac:dyDescent="0.15">
      <c r="A73" s="1238"/>
      <c r="B73" s="1184"/>
      <c r="C73" s="1" t="s">
        <v>77</v>
      </c>
      <c r="E73" s="1">
        <v>380.4</v>
      </c>
      <c r="F73" s="1">
        <v>177</v>
      </c>
      <c r="G73" s="1">
        <v>368.5</v>
      </c>
    </row>
    <row r="74" spans="1:13" x14ac:dyDescent="0.15">
      <c r="A74" s="1238"/>
      <c r="B74" s="1184"/>
      <c r="C74" s="1" t="s">
        <v>78</v>
      </c>
      <c r="E74" s="1">
        <v>203.3</v>
      </c>
      <c r="F74" s="1">
        <v>112.6</v>
      </c>
      <c r="G74" s="1">
        <v>163</v>
      </c>
    </row>
    <row r="75" spans="1:13" x14ac:dyDescent="0.15">
      <c r="A75" s="1238"/>
      <c r="B75" s="1184"/>
      <c r="C75" s="1" t="s">
        <v>79</v>
      </c>
      <c r="E75" s="1">
        <v>1547</v>
      </c>
      <c r="F75" s="1">
        <v>638.20000000000005</v>
      </c>
      <c r="G75" s="1">
        <v>794.1</v>
      </c>
    </row>
    <row r="76" spans="1:13" x14ac:dyDescent="0.15">
      <c r="A76" s="1238"/>
      <c r="B76" s="1184"/>
      <c r="C76" s="280" t="s">
        <v>80</v>
      </c>
      <c r="D76" s="280"/>
      <c r="E76" s="280">
        <f>SUM(E72:E75)</f>
        <v>2932.7</v>
      </c>
      <c r="F76" s="280">
        <f t="shared" ref="F76:G76" si="10">SUM(F72:F75)</f>
        <v>1225.3000000000002</v>
      </c>
      <c r="G76" s="280">
        <f t="shared" si="10"/>
        <v>1829.1999999999998</v>
      </c>
    </row>
    <row r="77" spans="1:13" x14ac:dyDescent="0.15">
      <c r="A77" s="1238"/>
      <c r="B77" s="1184"/>
    </row>
    <row r="78" spans="1:13" x14ac:dyDescent="0.15">
      <c r="A78" s="1238"/>
      <c r="B78" s="1184"/>
    </row>
    <row r="79" spans="1:13" x14ac:dyDescent="0.15">
      <c r="A79" s="1238"/>
      <c r="B79" s="1184"/>
      <c r="C79" s="1" t="s">
        <v>81</v>
      </c>
      <c r="E79" s="233">
        <f>E76*10^6/E68</f>
        <v>125.77250465605292</v>
      </c>
      <c r="F79" s="233">
        <f t="shared" ref="F79:G79" si="11">F76*10^6/F68</f>
        <v>137.23011764853459</v>
      </c>
      <c r="G79" s="233">
        <f t="shared" si="11"/>
        <v>108.98497464693234</v>
      </c>
      <c r="H79" s="233">
        <f t="shared" ref="H79:K79" si="12">I79/(1+H80)</f>
        <v>119.72631444452249</v>
      </c>
      <c r="I79" s="233">
        <f t="shared" si="12"/>
        <v>128.92129539386181</v>
      </c>
      <c r="J79" s="233">
        <f t="shared" si="12"/>
        <v>132.60844444212626</v>
      </c>
      <c r="K79" s="233">
        <f t="shared" si="12"/>
        <v>135.6053952865183</v>
      </c>
      <c r="L79" s="233">
        <f>M79/(1+L80)</f>
        <v>138.31750319224867</v>
      </c>
      <c r="M79" s="233">
        <f>AVERAGE(E79,G79)*(1+M81)</f>
        <v>141.08385325609365</v>
      </c>
    </row>
    <row r="80" spans="1:13" x14ac:dyDescent="0.15">
      <c r="A80" s="1238"/>
      <c r="B80" s="1184"/>
      <c r="C80" s="1" t="s">
        <v>82</v>
      </c>
      <c r="E80" s="233"/>
      <c r="F80" s="233"/>
      <c r="G80" s="233"/>
      <c r="H80" s="233">
        <v>7.6799999999999993E-2</v>
      </c>
      <c r="I80" s="233">
        <v>2.86E-2</v>
      </c>
      <c r="J80" s="233">
        <v>2.2599999999999999E-2</v>
      </c>
      <c r="K80" s="233">
        <v>0.02</v>
      </c>
      <c r="L80" s="233">
        <v>0.02</v>
      </c>
      <c r="M80" s="233">
        <v>0.02</v>
      </c>
    </row>
    <row r="81" spans="1:13" x14ac:dyDescent="0.15">
      <c r="A81" s="1238"/>
      <c r="B81" s="1184"/>
      <c r="C81" s="1" t="s">
        <v>83</v>
      </c>
      <c r="E81" s="233"/>
      <c r="F81" s="233"/>
      <c r="G81" s="233"/>
      <c r="H81" s="233">
        <f>H80</f>
        <v>7.6799999999999993E-2</v>
      </c>
      <c r="I81" s="233">
        <f>(1+H81)*(1+I80)-1</f>
        <v>0.10759647999999999</v>
      </c>
      <c r="J81" s="233">
        <f t="shared" ref="J81:M81" si="13">(1+I81)*(1+J80)-1</f>
        <v>0.13262816044799997</v>
      </c>
      <c r="K81" s="233">
        <f t="shared" si="13"/>
        <v>0.15528072365696</v>
      </c>
      <c r="L81" s="233">
        <f t="shared" si="13"/>
        <v>0.17838633813009919</v>
      </c>
      <c r="M81" s="233">
        <f t="shared" si="13"/>
        <v>0.20195406489270118</v>
      </c>
    </row>
    <row r="82" spans="1:13" ht="14" thickBot="1" x14ac:dyDescent="0.2">
      <c r="A82" s="1238"/>
      <c r="B82" s="1185"/>
      <c r="C82" s="1" t="s">
        <v>84</v>
      </c>
      <c r="E82" s="281" t="s">
        <v>58</v>
      </c>
      <c r="F82" s="281" t="s">
        <v>58</v>
      </c>
      <c r="G82" s="281" t="s">
        <v>58</v>
      </c>
      <c r="H82" s="233">
        <f>AVERAGE($E$79:$G$79)</f>
        <v>123.99586565050662</v>
      </c>
      <c r="I82" s="233">
        <f t="shared" ref="I82:M82" si="14">AVERAGE($E$79:$G$79)</f>
        <v>123.99586565050662</v>
      </c>
      <c r="J82" s="233">
        <f t="shared" si="14"/>
        <v>123.99586565050662</v>
      </c>
      <c r="K82" s="233">
        <f t="shared" si="14"/>
        <v>123.99586565050662</v>
      </c>
      <c r="L82" s="233">
        <f t="shared" si="14"/>
        <v>123.99586565050662</v>
      </c>
      <c r="M82" s="233">
        <f t="shared" si="14"/>
        <v>123.99586565050662</v>
      </c>
    </row>
    <row r="83" spans="1:13" ht="14" thickBot="1" x14ac:dyDescent="0.2">
      <c r="A83" s="1238"/>
      <c r="E83" s="233"/>
      <c r="F83" s="233"/>
      <c r="G83" s="233"/>
      <c r="H83" s="233"/>
      <c r="I83" s="233"/>
      <c r="J83" s="233"/>
      <c r="K83" s="233"/>
      <c r="L83" s="233"/>
      <c r="M83" s="233"/>
    </row>
    <row r="84" spans="1:13" ht="34" customHeight="1" x14ac:dyDescent="0.15">
      <c r="A84" s="1238"/>
      <c r="B84" s="1183" t="s">
        <v>85</v>
      </c>
      <c r="C84" s="1" t="s">
        <v>86</v>
      </c>
      <c r="E84" s="230">
        <f>E68*E79/1000000</f>
        <v>2932.7</v>
      </c>
      <c r="F84" s="230">
        <f t="shared" ref="F84:G84" si="15">F68*F79/1000000</f>
        <v>1225.3000000000002</v>
      </c>
      <c r="G84" s="230">
        <f t="shared" si="15"/>
        <v>1829.1999999999998</v>
      </c>
      <c r="H84" s="230">
        <f>H68*H79/1000000</f>
        <v>2854.8735439465122</v>
      </c>
      <c r="I84" s="230">
        <f t="shared" ref="I84:M84" si="16">I68*I79/1000000</f>
        <v>3246.0447935787179</v>
      </c>
      <c r="J84" s="230">
        <f t="shared" si="16"/>
        <v>3717.7433467119827</v>
      </c>
      <c r="K84" s="230">
        <f t="shared" si="16"/>
        <v>3887.609683981002</v>
      </c>
      <c r="L84" s="230">
        <f t="shared" si="16"/>
        <v>4055.0730993103643</v>
      </c>
      <c r="M84" s="230">
        <f t="shared" si="16"/>
        <v>4229.9257598096801</v>
      </c>
    </row>
    <row r="85" spans="1:13" ht="34" customHeight="1" x14ac:dyDescent="0.15">
      <c r="A85" s="1238"/>
      <c r="B85" s="1184"/>
      <c r="C85" s="1" t="s">
        <v>87</v>
      </c>
      <c r="D85" s="70">
        <f>(M84/H84)^(1/5)-1</f>
        <v>8.1805471859308421E-2</v>
      </c>
      <c r="E85" s="230"/>
      <c r="F85" s="230"/>
      <c r="G85" s="230"/>
      <c r="H85" s="230"/>
      <c r="I85" s="230"/>
      <c r="J85" s="230"/>
      <c r="K85" s="230"/>
      <c r="L85" s="230"/>
      <c r="M85" s="230"/>
    </row>
    <row r="86" spans="1:13" ht="40" customHeight="1" thickBot="1" x14ac:dyDescent="0.2">
      <c r="A86" s="1238"/>
      <c r="B86" s="1185"/>
      <c r="C86" s="1" t="s">
        <v>88</v>
      </c>
      <c r="D86" s="69">
        <f>(M84/E84)^(1/8)-1</f>
        <v>4.6846820253602983E-2</v>
      </c>
      <c r="E86" s="233"/>
      <c r="F86" s="233"/>
      <c r="G86" s="233"/>
      <c r="H86" s="233"/>
      <c r="I86" s="233"/>
      <c r="J86" s="233"/>
      <c r="K86" s="233"/>
      <c r="L86" s="233"/>
      <c r="M86" s="233"/>
    </row>
    <row r="87" spans="1:13" ht="70" customHeight="1" thickBot="1" x14ac:dyDescent="0.2"/>
    <row r="88" spans="1:13" ht="55" customHeight="1" x14ac:dyDescent="0.15">
      <c r="A88" s="1240" t="s">
        <v>89</v>
      </c>
      <c r="B88" s="1183" t="s">
        <v>90</v>
      </c>
      <c r="C88" s="1239" t="s">
        <v>91</v>
      </c>
      <c r="D88" s="1239"/>
      <c r="E88" s="230">
        <f>Int_Mkt_Sh!T14</f>
        <v>63150964</v>
      </c>
      <c r="F88" s="230">
        <f>Int_Mkt_Sh!U14</f>
        <v>17018290</v>
      </c>
      <c r="G88" s="230">
        <f>Int_Mkt_Sh!V14</f>
        <v>18479699</v>
      </c>
      <c r="H88" s="230">
        <f>Int_Mkt_Sh!W14</f>
        <v>24639598.666666668</v>
      </c>
      <c r="I88" s="230">
        <f>Int_Mkt_Sh!X14</f>
        <v>47363223</v>
      </c>
      <c r="J88" s="230">
        <f>Int_Mkt_Sh!Y14</f>
        <v>63150964</v>
      </c>
      <c r="K88" s="230">
        <f>Int_Mkt_Sh!Z14</f>
        <v>67800750.425779402</v>
      </c>
      <c r="L88" s="230">
        <f>Int_Mkt_Sh!AA14</f>
        <v>72792899.223182485</v>
      </c>
      <c r="M88" s="230">
        <f>Int_Mkt_Sh!AB14</f>
        <v>78152618.430336326</v>
      </c>
    </row>
    <row r="89" spans="1:13" ht="16" customHeight="1" x14ac:dyDescent="0.15">
      <c r="A89" s="1240"/>
      <c r="B89" s="1184"/>
      <c r="C89" s="287" t="s">
        <v>30</v>
      </c>
      <c r="D89" s="277"/>
      <c r="E89" s="66"/>
      <c r="F89" s="69">
        <f>F88/E88-1</f>
        <v>-0.73051416918987966</v>
      </c>
      <c r="G89" s="69">
        <f t="shared" ref="G89:M89" si="17">G88/F88-1</f>
        <v>8.587284621427882E-2</v>
      </c>
      <c r="H89" s="69">
        <f t="shared" si="17"/>
        <v>0.33333333333333348</v>
      </c>
      <c r="I89" s="69">
        <f t="shared" si="17"/>
        <v>0.92224003486203965</v>
      </c>
      <c r="J89" s="69">
        <f t="shared" si="17"/>
        <v>0.33333333333333326</v>
      </c>
      <c r="K89" s="69">
        <f t="shared" si="17"/>
        <v>7.3629698285831324E-2</v>
      </c>
      <c r="L89" s="69">
        <f t="shared" si="17"/>
        <v>7.3629698285831324E-2</v>
      </c>
      <c r="M89" s="69">
        <f t="shared" si="17"/>
        <v>7.3629698285831102E-2</v>
      </c>
    </row>
    <row r="90" spans="1:13" ht="16" customHeight="1" x14ac:dyDescent="0.15">
      <c r="A90" s="1240"/>
      <c r="B90" s="1184"/>
      <c r="C90" s="1" t="s">
        <v>34</v>
      </c>
      <c r="D90" s="63">
        <f>(M88/H88)^(1/5)-1</f>
        <v>0.25968506608259201</v>
      </c>
    </row>
    <row r="91" spans="1:13" ht="16" customHeight="1" x14ac:dyDescent="0.15">
      <c r="A91" s="1240"/>
      <c r="B91" s="1184"/>
      <c r="C91" s="1" t="s">
        <v>35</v>
      </c>
      <c r="D91" s="63">
        <f>4.1%</f>
        <v>4.0999999999999995E-2</v>
      </c>
    </row>
    <row r="92" spans="1:13" ht="16" customHeight="1" x14ac:dyDescent="0.15">
      <c r="A92" s="1240"/>
      <c r="B92" s="1184"/>
      <c r="C92" s="1" t="s">
        <v>72</v>
      </c>
      <c r="D92" s="63">
        <f>(M88/E88)^(1/8)-1</f>
        <v>2.6999999999999913E-2</v>
      </c>
    </row>
    <row r="93" spans="1:13" ht="16" customHeight="1" x14ac:dyDescent="0.15">
      <c r="A93" s="1240"/>
      <c r="B93" s="1184"/>
      <c r="D93" s="39"/>
    </row>
    <row r="94" spans="1:13" ht="17" thickBot="1" x14ac:dyDescent="0.25">
      <c r="A94" s="1240"/>
      <c r="B94" s="1185"/>
      <c r="C94" s="1" t="s">
        <v>38</v>
      </c>
      <c r="D94" s="70">
        <f>H88/E88</f>
        <v>0.39016979482160663</v>
      </c>
      <c r="E94" s="251"/>
      <c r="F94" s="251"/>
      <c r="G94" s="251"/>
      <c r="H94" s="251"/>
      <c r="I94" s="251"/>
      <c r="J94" s="251"/>
    </row>
    <row r="95" spans="1:13" ht="17" thickBot="1" x14ac:dyDescent="0.25">
      <c r="A95" s="1240"/>
      <c r="B95" s="226"/>
      <c r="C95" s="251"/>
      <c r="D95" s="251"/>
      <c r="E95" s="251"/>
      <c r="F95" s="251"/>
      <c r="G95" s="251"/>
      <c r="H95" s="251"/>
      <c r="I95" s="251"/>
      <c r="J95" s="251"/>
    </row>
    <row r="96" spans="1:13" ht="58" customHeight="1" x14ac:dyDescent="0.2">
      <c r="A96" s="1240"/>
      <c r="B96" s="1183" t="s">
        <v>92</v>
      </c>
      <c r="C96" s="1241" t="s">
        <v>93</v>
      </c>
      <c r="D96" s="1241"/>
      <c r="E96" s="230"/>
      <c r="F96" s="230"/>
      <c r="G96" s="230"/>
      <c r="H96" s="230"/>
      <c r="I96" s="230"/>
      <c r="J96" s="251"/>
    </row>
    <row r="97" spans="1:13" ht="16" x14ac:dyDescent="0.2">
      <c r="A97" s="1240"/>
      <c r="B97" s="1184"/>
      <c r="C97" s="287"/>
      <c r="D97" s="277"/>
      <c r="E97" s="66"/>
      <c r="F97" s="69"/>
      <c r="G97" s="69"/>
      <c r="H97" s="69"/>
      <c r="I97" s="69"/>
      <c r="J97" s="251"/>
    </row>
    <row r="98" spans="1:13" x14ac:dyDescent="0.15">
      <c r="A98" s="1240"/>
      <c r="B98" s="1184"/>
      <c r="C98" s="1" t="s">
        <v>94</v>
      </c>
      <c r="E98" s="70">
        <f>Int_Mkt_Sh!C5</f>
        <v>0.30845617811946624</v>
      </c>
      <c r="F98" s="70">
        <f>Int_Mkt_Sh!D5</f>
        <v>0.29432915998023301</v>
      </c>
      <c r="G98" s="70">
        <f>Int_Mkt_Sh!E5</f>
        <v>0.20521513905610694</v>
      </c>
      <c r="H98" s="70">
        <f>Int_Mkt_Sh!F5</f>
        <v>0.20524769722968506</v>
      </c>
      <c r="I98" s="70">
        <f>Int_Mkt_Sh!G5</f>
        <v>0.27524769722968506</v>
      </c>
      <c r="J98" s="70">
        <f>Int_Mkt_Sh!H5</f>
        <v>0.30524769722968503</v>
      </c>
      <c r="K98" s="70">
        <f>Int_Mkt_Sh!I5</f>
        <v>0.30524769722968503</v>
      </c>
      <c r="L98" s="70">
        <f>Int_Mkt_Sh!J5</f>
        <v>0.30524769722968503</v>
      </c>
      <c r="M98" s="70">
        <f>Int_Mkt_Sh!K5</f>
        <v>0.30524769722968503</v>
      </c>
    </row>
    <row r="99" spans="1:13" x14ac:dyDescent="0.15">
      <c r="A99" s="1240"/>
      <c r="B99" s="1184"/>
      <c r="C99" s="1" t="str">
        <f>Int_Mkt_Sh!A8</f>
        <v>Abra group</v>
      </c>
      <c r="E99" s="70">
        <f>Int_Mkt_Sh!C8</f>
        <v>0.17050955865060111</v>
      </c>
      <c r="F99" s="70">
        <f>Int_Mkt_Sh!D8</f>
        <v>0.14956502680351552</v>
      </c>
      <c r="G99" s="70">
        <f>Int_Mkt_Sh!E8</f>
        <v>0.14894479612465553</v>
      </c>
      <c r="H99" s="70">
        <f>Int_Mkt_Sh!F8</f>
        <v>0.28272308733848489</v>
      </c>
      <c r="I99" s="70">
        <f>Int_Mkt_Sh!G8</f>
        <v>0.25272308733848492</v>
      </c>
      <c r="J99" s="70">
        <f>Int_Mkt_Sh!H8</f>
        <v>0.24272308733848491</v>
      </c>
      <c r="K99" s="70">
        <f>Int_Mkt_Sh!I8</f>
        <v>0.25272308733848492</v>
      </c>
      <c r="L99" s="70">
        <f>Int_Mkt_Sh!J8</f>
        <v>0.28272308733848495</v>
      </c>
      <c r="M99" s="70">
        <f>Int_Mkt_Sh!K8</f>
        <v>0.29272308733848496</v>
      </c>
    </row>
    <row r="100" spans="1:13" x14ac:dyDescent="0.15">
      <c r="A100" s="1240"/>
      <c r="B100" s="1184"/>
      <c r="C100" s="1" t="str">
        <f>Int_Mkt_Sh!A11</f>
        <v>Copa Holdings</v>
      </c>
      <c r="E100" s="70">
        <f>Int_Mkt_Sh!C11</f>
        <v>3.6601547365136024E-2</v>
      </c>
      <c r="F100" s="70">
        <f>Int_Mkt_Sh!D11</f>
        <v>4.3024534192330724E-2</v>
      </c>
      <c r="G100" s="70">
        <f>Int_Mkt_Sh!E11</f>
        <v>0.12499781517004147</v>
      </c>
      <c r="H100" s="70">
        <f>Int_Mkt_Sh!F11</f>
        <v>0.10086713549558274</v>
      </c>
      <c r="I100" s="70">
        <f>Int_Mkt_Sh!G11</f>
        <v>9.0867135495582743E-2</v>
      </c>
      <c r="J100" s="70">
        <f>Int_Mkt_Sh!H11</f>
        <v>8.5867135495582739E-2</v>
      </c>
      <c r="K100" s="70">
        <f>Int_Mkt_Sh!I11</f>
        <v>8.5867135495582739E-2</v>
      </c>
      <c r="L100" s="70">
        <f>Int_Mkt_Sh!J11</f>
        <v>8.5867135495582739E-2</v>
      </c>
      <c r="M100" s="70">
        <f>Int_Mkt_Sh!K11</f>
        <v>8.5867135495582739E-2</v>
      </c>
    </row>
    <row r="101" spans="1:13" x14ac:dyDescent="0.15">
      <c r="A101" s="1240"/>
      <c r="B101" s="1184"/>
      <c r="C101" s="1" t="str">
        <f>Int_Mkt_Sh!A14</f>
        <v>Jet Smart</v>
      </c>
      <c r="E101" s="70">
        <f>Int_Mkt_Sh!C14</f>
        <v>9.063947147346792E-3</v>
      </c>
      <c r="F101" s="70">
        <f>Int_Mkt_Sh!D14</f>
        <v>1.5284203054478446E-2</v>
      </c>
      <c r="G101" s="70">
        <f>Int_Mkt_Sh!E14</f>
        <v>1.101987646010901E-2</v>
      </c>
      <c r="H101" s="70">
        <f>Int_Mkt_Sh!F14</f>
        <v>2.0714661143673568E-2</v>
      </c>
      <c r="I101" s="70">
        <f>Int_Mkt_Sh!G14</f>
        <v>2.0714661143673568E-2</v>
      </c>
      <c r="J101" s="70">
        <f>Int_Mkt_Sh!H14</f>
        <v>2.0714661143673568E-2</v>
      </c>
      <c r="K101" s="70">
        <f>Int_Mkt_Sh!I14</f>
        <v>2.0714661143673568E-2</v>
      </c>
      <c r="L101" s="70">
        <f>Int_Mkt_Sh!J14</f>
        <v>2.0714661143673568E-2</v>
      </c>
      <c r="M101" s="70">
        <f>Int_Mkt_Sh!K14</f>
        <v>2.0714661143673568E-2</v>
      </c>
    </row>
    <row r="102" spans="1:13" x14ac:dyDescent="0.15">
      <c r="A102" s="1240"/>
      <c r="B102" s="1184"/>
      <c r="C102" s="1" t="str">
        <f>Int_Mkt_Sh!A17</f>
        <v>American Airlines</v>
      </c>
      <c r="E102" s="70">
        <f>Int_Mkt_Sh!C17</f>
        <v>4.3473239775088789E-2</v>
      </c>
      <c r="F102" s="70">
        <f>Int_Mkt_Sh!D17</f>
        <v>5.0153805112029472E-2</v>
      </c>
      <c r="G102" s="70">
        <f>Int_Mkt_Sh!E17</f>
        <v>0.12049698428529598</v>
      </c>
      <c r="H102" s="70">
        <f>Int_Mkt_Sh!F17</f>
        <v>7.2666223502303451E-2</v>
      </c>
      <c r="I102" s="70">
        <f>Int_Mkt_Sh!G17</f>
        <v>6.2666223502303456E-2</v>
      </c>
      <c r="J102" s="70">
        <f>Int_Mkt_Sh!H17</f>
        <v>5.7666223502303458E-2</v>
      </c>
      <c r="K102" s="70">
        <f>Int_Mkt_Sh!I17</f>
        <v>5.2666223502303461E-2</v>
      </c>
      <c r="L102" s="70">
        <f>Int_Mkt_Sh!J17</f>
        <v>5.2666223502303461E-2</v>
      </c>
      <c r="M102" s="70">
        <f>Int_Mkt_Sh!K17</f>
        <v>5.5166223502303463E-2</v>
      </c>
    </row>
    <row r="103" spans="1:13" x14ac:dyDescent="0.15">
      <c r="A103" s="1240"/>
      <c r="B103" s="1184"/>
      <c r="C103" s="1" t="str">
        <f>Int_Mkt_Sh!A20</f>
        <v>United Airlines</v>
      </c>
      <c r="E103" s="70">
        <f>Int_Mkt_Sh!C20</f>
        <v>2.2141815602371485E-2</v>
      </c>
      <c r="F103" s="70">
        <f>Int_Mkt_Sh!D20</f>
        <v>2.572855439647579E-2</v>
      </c>
      <c r="G103" s="70">
        <f>Int_Mkt_Sh!E20</f>
        <v>3.2756053007140427E-2</v>
      </c>
      <c r="H103" s="70">
        <f>Int_Mkt_Sh!F20</f>
        <v>1.5392780763333424E-2</v>
      </c>
      <c r="I103" s="70">
        <f>Int_Mkt_Sh!G20</f>
        <v>1.2892780763333424E-2</v>
      </c>
      <c r="J103" s="70">
        <f>Int_Mkt_Sh!H20</f>
        <v>1.2892780763333424E-2</v>
      </c>
      <c r="K103" s="70">
        <f>Int_Mkt_Sh!I20</f>
        <v>1.2892780763333424E-2</v>
      </c>
      <c r="L103" s="70">
        <f>Int_Mkt_Sh!J20</f>
        <v>1.0392780763333423E-2</v>
      </c>
      <c r="M103" s="70">
        <f>Int_Mkt_Sh!K20</f>
        <v>1.2892780763333424E-2</v>
      </c>
    </row>
    <row r="104" spans="1:13" x14ac:dyDescent="0.15">
      <c r="A104" s="1240"/>
      <c r="B104" s="1184"/>
      <c r="C104" s="1" t="str">
        <f>Int_Mkt_Sh!A23</f>
        <v>OTHERS</v>
      </c>
      <c r="E104" s="70">
        <f>Int_Mkt_Sh!C23</f>
        <v>0.3893885768711306</v>
      </c>
      <c r="F104" s="70">
        <f>Int_Mkt_Sh!D23</f>
        <v>0.39392970739128313</v>
      </c>
      <c r="G104" s="70">
        <f>Int_Mkt_Sh!E23</f>
        <v>0.33647571857095726</v>
      </c>
      <c r="H104" s="70">
        <f>Int_Mkt_Sh!F23</f>
        <v>0.26752329084908943</v>
      </c>
      <c r="I104" s="70">
        <f>Int_Mkt_Sh!G23</f>
        <v>0.25002329084908942</v>
      </c>
      <c r="J104" s="70">
        <f>Int_Mkt_Sh!H23</f>
        <v>0.24002329084908941</v>
      </c>
      <c r="K104" s="70">
        <f>Int_Mkt_Sh!I23</f>
        <v>0.23502329084908941</v>
      </c>
      <c r="L104" s="70">
        <f>Int_Mkt_Sh!J23</f>
        <v>0.20752329084908941</v>
      </c>
      <c r="M104" s="70">
        <f>Int_Mkt_Sh!K23</f>
        <v>0.19252329084908942</v>
      </c>
    </row>
    <row r="105" spans="1:13" ht="16" x14ac:dyDescent="0.2">
      <c r="A105" s="1240"/>
      <c r="B105" s="1184"/>
      <c r="C105" s="287"/>
      <c r="D105" s="277"/>
      <c r="E105" s="66"/>
      <c r="F105" s="69"/>
      <c r="G105" s="69"/>
      <c r="H105" s="69"/>
      <c r="I105" s="69"/>
      <c r="J105" s="251"/>
    </row>
    <row r="106" spans="1:13" ht="15" thickBot="1" x14ac:dyDescent="0.25">
      <c r="A106" s="1240"/>
      <c r="B106" s="1185"/>
      <c r="C106" s="225" t="s">
        <v>95</v>
      </c>
      <c r="D106" s="63"/>
      <c r="E106" s="70">
        <f>Int_Mkt_Sh!S18</f>
        <v>0.29948472843786472</v>
      </c>
      <c r="F106" s="70">
        <f>Int_Mkt_Sh!T18</f>
        <v>0.29264907183364613</v>
      </c>
      <c r="G106" s="70">
        <f>Int_Mkt_Sh!U18</f>
        <v>0.27591978982612236</v>
      </c>
      <c r="H106" s="70">
        <f>Int_Mkt_Sh!V18</f>
        <v>0.18004990232795459</v>
      </c>
      <c r="I106" s="70">
        <f>Int_Mkt_Sh!W18</f>
        <v>0.18764016587816146</v>
      </c>
      <c r="J106" s="70">
        <f>Int_Mkt_Sh!X18</f>
        <v>0.25163509390296956</v>
      </c>
      <c r="K106" s="70">
        <f>Int_Mkt_Sh!Y18</f>
        <v>0.27906149162788735</v>
      </c>
      <c r="L106" s="70">
        <f>Int_Mkt_Sh!Z18</f>
        <v>0.27906149162788735</v>
      </c>
      <c r="M106" s="70">
        <f>Int_Mkt_Sh!AA18</f>
        <v>0.27906149162788735</v>
      </c>
    </row>
    <row r="107" spans="1:13" ht="17" thickBot="1" x14ac:dyDescent="0.25">
      <c r="A107" s="1240"/>
      <c r="C107" s="251"/>
      <c r="D107" s="251"/>
      <c r="E107" s="251"/>
      <c r="F107" s="251"/>
      <c r="G107" s="251"/>
      <c r="H107" s="251"/>
      <c r="I107" s="251"/>
      <c r="J107" s="251"/>
    </row>
    <row r="108" spans="1:13" x14ac:dyDescent="0.15">
      <c r="A108" s="1240"/>
      <c r="B108" s="1183" t="s">
        <v>75</v>
      </c>
      <c r="C108" s="1" t="s">
        <v>96</v>
      </c>
      <c r="E108" s="1">
        <v>585</v>
      </c>
      <c r="F108" s="1">
        <v>172.2</v>
      </c>
      <c r="G108" s="1">
        <v>75.5</v>
      </c>
    </row>
    <row r="109" spans="1:13" x14ac:dyDescent="0.15">
      <c r="A109" s="1240"/>
      <c r="B109" s="1184"/>
      <c r="C109" s="1" t="s">
        <v>97</v>
      </c>
      <c r="E109" s="1">
        <v>1004.2</v>
      </c>
      <c r="F109" s="1">
        <v>505.1</v>
      </c>
      <c r="G109" s="1">
        <v>578</v>
      </c>
    </row>
    <row r="110" spans="1:13" x14ac:dyDescent="0.15">
      <c r="A110" s="1240"/>
      <c r="B110" s="1184"/>
      <c r="C110" s="1" t="s">
        <v>98</v>
      </c>
      <c r="E110" s="1">
        <v>726.2</v>
      </c>
      <c r="F110" s="1">
        <v>338.6</v>
      </c>
      <c r="G110" s="1">
        <v>376.9</v>
      </c>
    </row>
    <row r="111" spans="1:13" x14ac:dyDescent="0.15">
      <c r="A111" s="1240"/>
      <c r="B111" s="1184"/>
      <c r="C111" s="1" t="s">
        <v>99</v>
      </c>
      <c r="E111" s="1">
        <v>872.2</v>
      </c>
      <c r="F111" s="1">
        <v>378.4</v>
      </c>
      <c r="G111" s="1">
        <v>360</v>
      </c>
    </row>
    <row r="112" spans="1:13" x14ac:dyDescent="0.15">
      <c r="A112" s="1240"/>
      <c r="B112" s="1184"/>
      <c r="C112" s="310" t="s">
        <v>100</v>
      </c>
      <c r="D112" s="280"/>
      <c r="E112" s="280">
        <f>SUM(E108:E111)</f>
        <v>3187.6000000000004</v>
      </c>
      <c r="F112" s="280">
        <f>SUM(F108:F111)</f>
        <v>1394.3</v>
      </c>
      <c r="G112" s="280">
        <f>SUM(G108:G111)</f>
        <v>1390.4</v>
      </c>
    </row>
    <row r="113" spans="1:13" ht="14" x14ac:dyDescent="0.2">
      <c r="A113" s="1240"/>
      <c r="B113" s="1184"/>
      <c r="C113" s="225" t="s">
        <v>101</v>
      </c>
      <c r="E113" s="230">
        <f>Int_Mkt_Sh!T19</f>
        <v>18481071</v>
      </c>
      <c r="F113" s="230">
        <f>Int_Mkt_Sh!U19</f>
        <v>4695683</v>
      </c>
      <c r="G113" s="230">
        <f>Int_Mkt_Sh!V19</f>
        <v>3327268</v>
      </c>
      <c r="H113" s="230">
        <f>Int_Mkt_Sh!W19</f>
        <v>4623378.3809846593</v>
      </c>
      <c r="I113" s="230">
        <f>Int_Mkt_Sh!X19</f>
        <v>11918249.067152288</v>
      </c>
      <c r="J113" s="230">
        <f>Int_Mkt_Sh!Y19</f>
        <v>17623002.211579014</v>
      </c>
      <c r="K113" s="230">
        <f>Int_Mkt_Sh!Z19</f>
        <v>18920578.547308117</v>
      </c>
      <c r="L113" s="230">
        <f>Int_Mkt_Sh!AA19</f>
        <v>20313695.037139785</v>
      </c>
      <c r="M113" s="230">
        <f>Int_Mkt_Sh!AB19</f>
        <v>21809386.273794774</v>
      </c>
    </row>
    <row r="114" spans="1:13" x14ac:dyDescent="0.15">
      <c r="A114" s="1240"/>
      <c r="B114" s="1184"/>
      <c r="C114" s="1" t="s">
        <v>102</v>
      </c>
      <c r="E114" s="1">
        <f>E112*10^6/E113</f>
        <v>172.47918153661118</v>
      </c>
      <c r="F114" s="1">
        <f t="shared" ref="F114:G114" si="18">F112*10^6/F113</f>
        <v>296.93230995363189</v>
      </c>
      <c r="G114" s="1">
        <f t="shared" si="18"/>
        <v>417.88037513058759</v>
      </c>
      <c r="H114" s="1">
        <f>H116*(1+H115)</f>
        <v>318.47862732577011</v>
      </c>
      <c r="I114" s="1">
        <f>I116*(1+I115)</f>
        <v>327.70646273862678</v>
      </c>
      <c r="J114" s="1">
        <f t="shared" ref="J114:M114" si="19">J116*(1+J115)</f>
        <v>335.10056162713369</v>
      </c>
      <c r="K114" s="1">
        <f>K116*(1+K115)</f>
        <v>341.6073686490198</v>
      </c>
      <c r="L114" s="1">
        <f t="shared" si="19"/>
        <v>348.40993962644615</v>
      </c>
      <c r="M114" s="1">
        <f t="shared" si="19"/>
        <v>355.50827455941277</v>
      </c>
    </row>
    <row r="115" spans="1:13" x14ac:dyDescent="0.15">
      <c r="A115" s="1240"/>
      <c r="B115" s="1184"/>
      <c r="C115" s="1" t="s">
        <v>103</v>
      </c>
      <c r="H115" s="63">
        <v>7.6799999999999993E-2</v>
      </c>
      <c r="I115" s="63">
        <v>0.108</v>
      </c>
      <c r="J115" s="63">
        <v>0.13300000000000001</v>
      </c>
      <c r="K115" s="63">
        <v>0.155</v>
      </c>
      <c r="L115" s="63">
        <v>0.17799999999999999</v>
      </c>
      <c r="M115" s="63">
        <v>0.20200000000000001</v>
      </c>
    </row>
    <row r="116" spans="1:13" x14ac:dyDescent="0.15">
      <c r="A116" s="1240"/>
      <c r="B116" s="1184"/>
      <c r="C116" s="1" t="s">
        <v>104</v>
      </c>
      <c r="H116" s="1">
        <f>AVERAGE(E114:G114)</f>
        <v>295.76395554027687</v>
      </c>
      <c r="I116" s="1">
        <f>H116</f>
        <v>295.76395554027687</v>
      </c>
      <c r="J116" s="1">
        <f t="shared" ref="J116:M116" si="20">I116</f>
        <v>295.76395554027687</v>
      </c>
      <c r="K116" s="1">
        <f t="shared" si="20"/>
        <v>295.76395554027687</v>
      </c>
      <c r="L116" s="1">
        <f t="shared" si="20"/>
        <v>295.76395554027687</v>
      </c>
      <c r="M116" s="1">
        <f t="shared" si="20"/>
        <v>295.76395554027687</v>
      </c>
    </row>
    <row r="117" spans="1:13" x14ac:dyDescent="0.15">
      <c r="A117" s="1240"/>
      <c r="B117" s="1184"/>
    </row>
    <row r="118" spans="1:13" ht="14" thickBot="1" x14ac:dyDescent="0.2">
      <c r="A118" s="1240"/>
      <c r="B118" s="1185"/>
      <c r="E118" s="230"/>
      <c r="F118" s="230"/>
      <c r="G118" s="230"/>
      <c r="H118" s="230"/>
      <c r="I118" s="230"/>
    </row>
    <row r="119" spans="1:13" ht="14" thickBot="1" x14ac:dyDescent="0.2">
      <c r="A119" s="1240"/>
    </row>
    <row r="120" spans="1:13" x14ac:dyDescent="0.15">
      <c r="A120" s="1240"/>
      <c r="B120" s="1183" t="s">
        <v>85</v>
      </c>
    </row>
    <row r="121" spans="1:13" x14ac:dyDescent="0.15">
      <c r="A121" s="1240"/>
      <c r="B121" s="1184"/>
      <c r="C121" s="1" t="s">
        <v>105</v>
      </c>
      <c r="E121" s="230">
        <f>E112</f>
        <v>3187.6000000000004</v>
      </c>
      <c r="F121" s="230">
        <f>F112</f>
        <v>1394.3</v>
      </c>
      <c r="G121" s="230">
        <f>G112</f>
        <v>1390.4</v>
      </c>
      <c r="H121" s="230">
        <f>H113*H116/(10^6)</f>
        <v>1367.428677919424</v>
      </c>
      <c r="I121" s="230">
        <f t="shared" ref="I121:M121" si="21">I113*I116/(10^6)</f>
        <v>3524.9884872151756</v>
      </c>
      <c r="J121" s="230">
        <f t="shared" si="21"/>
        <v>5212.2488425916563</v>
      </c>
      <c r="K121" s="230">
        <f t="shared" si="21"/>
        <v>5596.0251522623539</v>
      </c>
      <c r="L121" s="230">
        <f t="shared" si="21"/>
        <v>6008.0587958233536</v>
      </c>
      <c r="M121" s="230">
        <f t="shared" si="21"/>
        <v>6450.430352243362</v>
      </c>
    </row>
    <row r="122" spans="1:13" ht="14" thickBot="1" x14ac:dyDescent="0.2">
      <c r="A122" s="1240"/>
      <c r="B122" s="1185"/>
    </row>
    <row r="125" spans="1:13" ht="36" x14ac:dyDescent="0.4">
      <c r="C125" s="311" t="s">
        <v>107</v>
      </c>
      <c r="D125" s="311"/>
      <c r="E125" s="311"/>
      <c r="F125" s="311"/>
      <c r="G125" s="311"/>
      <c r="H125" s="312">
        <f>H121+H84+H46</f>
        <v>6935.7645708855498</v>
      </c>
      <c r="I125" s="312">
        <f t="shared" ref="I125:M125" si="22">I121+I84+I46</f>
        <v>9583.6683809691385</v>
      </c>
      <c r="J125" s="312">
        <f t="shared" si="22"/>
        <v>11830.479346809856</v>
      </c>
      <c r="K125" s="312">
        <f t="shared" si="22"/>
        <v>12406.79164587545</v>
      </c>
      <c r="L125" s="312">
        <f t="shared" si="22"/>
        <v>12992.718911316868</v>
      </c>
      <c r="M125" s="312">
        <f t="shared" si="22"/>
        <v>13632.932490961392</v>
      </c>
    </row>
    <row r="127" spans="1:13" x14ac:dyDescent="0.15">
      <c r="H127" s="1">
        <v>9654</v>
      </c>
      <c r="I127" s="1">
        <v>11458</v>
      </c>
      <c r="J127" s="1">
        <v>11407</v>
      </c>
      <c r="K127" s="1">
        <v>12252</v>
      </c>
      <c r="L127" s="1">
        <v>13069</v>
      </c>
      <c r="M127" s="1">
        <v>13853</v>
      </c>
    </row>
    <row r="129" spans="1:13" x14ac:dyDescent="0.15">
      <c r="H129" s="1">
        <f>H121/H125</f>
        <v>0.19715615545249576</v>
      </c>
      <c r="I129" s="1">
        <f t="shared" ref="I129:M129" si="23">I121/I125</f>
        <v>0.36781202636507698</v>
      </c>
      <c r="J129" s="1">
        <f t="shared" si="23"/>
        <v>0.44057799264043884</v>
      </c>
      <c r="K129" s="1">
        <f t="shared" si="23"/>
        <v>0.4510453074403577</v>
      </c>
      <c r="L129" s="1">
        <f t="shared" si="23"/>
        <v>0.46241736135692413</v>
      </c>
      <c r="M129" s="1">
        <f t="shared" si="23"/>
        <v>0.47315061205796954</v>
      </c>
    </row>
    <row r="138" spans="1:13" ht="16" x14ac:dyDescent="0.2">
      <c r="A138" s="251"/>
      <c r="B138" s="251"/>
      <c r="C138" s="251"/>
      <c r="D138" s="251"/>
      <c r="E138" s="251"/>
      <c r="F138" s="251"/>
      <c r="G138" s="251"/>
      <c r="H138" s="251"/>
      <c r="I138" s="251"/>
      <c r="J138" s="251"/>
    </row>
    <row r="139" spans="1:13" ht="16" x14ac:dyDescent="0.2">
      <c r="A139" s="251"/>
      <c r="B139" s="283"/>
      <c r="C139" s="251"/>
      <c r="D139" s="251"/>
      <c r="E139" s="251"/>
      <c r="F139" s="251"/>
      <c r="G139" s="251"/>
      <c r="H139" s="251"/>
      <c r="I139" s="251"/>
      <c r="J139" s="251"/>
    </row>
    <row r="140" spans="1:13" ht="16" x14ac:dyDescent="0.2">
      <c r="A140" s="251"/>
      <c r="B140" s="251"/>
      <c r="C140" s="251"/>
      <c r="D140" s="251"/>
      <c r="E140" s="251"/>
      <c r="F140" s="251"/>
      <c r="G140" s="251"/>
      <c r="H140" s="251"/>
      <c r="I140" s="251"/>
      <c r="J140" s="251"/>
    </row>
    <row r="141" spans="1:13" ht="16" x14ac:dyDescent="0.2">
      <c r="A141" s="251"/>
      <c r="B141" s="251"/>
      <c r="C141" s="251"/>
      <c r="D141" s="251"/>
      <c r="E141" s="251"/>
      <c r="F141" s="251"/>
      <c r="G141" s="251"/>
      <c r="H141" s="251"/>
      <c r="I141" s="251"/>
      <c r="J141" s="251"/>
    </row>
    <row r="142" spans="1:13" ht="16" x14ac:dyDescent="0.2">
      <c r="A142" s="251"/>
      <c r="B142" s="251"/>
      <c r="C142" s="251"/>
      <c r="D142" s="251"/>
      <c r="E142" s="251"/>
      <c r="F142" s="251"/>
      <c r="G142" s="251"/>
      <c r="H142" s="251"/>
      <c r="I142" s="251"/>
      <c r="J142" s="251"/>
    </row>
    <row r="143" spans="1:13" ht="16" x14ac:dyDescent="0.2">
      <c r="A143" s="251"/>
      <c r="B143" s="284"/>
      <c r="C143" s="284"/>
      <c r="D143" s="284"/>
      <c r="E143" s="284"/>
      <c r="F143" s="284"/>
      <c r="G143" s="284"/>
      <c r="H143" s="284"/>
      <c r="I143" s="284"/>
      <c r="J143" s="284"/>
    </row>
    <row r="144" spans="1:13" ht="16" x14ac:dyDescent="0.2">
      <c r="A144" s="251"/>
      <c r="B144" s="285"/>
      <c r="C144" s="285"/>
      <c r="D144" s="285"/>
      <c r="E144" s="285"/>
      <c r="F144" s="285"/>
      <c r="G144" s="285"/>
      <c r="H144" s="285"/>
      <c r="I144" s="285"/>
      <c r="J144" s="285"/>
    </row>
    <row r="145" spans="1:10" ht="16" x14ac:dyDescent="0.2">
      <c r="A145" s="251"/>
      <c r="B145" s="285"/>
      <c r="C145" s="285"/>
      <c r="D145" s="285"/>
      <c r="E145" s="286"/>
      <c r="F145" s="286"/>
      <c r="G145" s="286"/>
      <c r="H145" s="286"/>
      <c r="I145" s="286"/>
      <c r="J145" s="286"/>
    </row>
    <row r="146" spans="1:10" ht="16" x14ac:dyDescent="0.2">
      <c r="A146" s="251"/>
      <c r="B146" s="285"/>
      <c r="C146" s="285"/>
      <c r="D146" s="285"/>
      <c r="E146" s="285"/>
      <c r="F146" s="285"/>
      <c r="G146" s="285"/>
      <c r="H146" s="285"/>
      <c r="I146" s="285"/>
      <c r="J146" s="285"/>
    </row>
    <row r="147" spans="1:10" ht="16" x14ac:dyDescent="0.2">
      <c r="A147" s="251"/>
      <c r="B147" s="284"/>
      <c r="C147" s="284"/>
      <c r="D147" s="284"/>
      <c r="E147" s="284"/>
      <c r="F147" s="284"/>
      <c r="G147" s="284"/>
      <c r="H147" s="284"/>
      <c r="I147" s="284"/>
      <c r="J147" s="284"/>
    </row>
    <row r="148" spans="1:10" ht="16" x14ac:dyDescent="0.2">
      <c r="A148" s="251"/>
      <c r="B148" s="251"/>
      <c r="C148" s="251"/>
      <c r="D148" s="251"/>
      <c r="E148" s="251"/>
      <c r="F148" s="251"/>
      <c r="G148" s="251"/>
      <c r="H148" s="251"/>
      <c r="I148" s="251"/>
      <c r="J148" s="251"/>
    </row>
    <row r="149" spans="1:10" ht="16" x14ac:dyDescent="0.2">
      <c r="A149" s="282"/>
      <c r="B149" s="284"/>
      <c r="C149" s="284"/>
      <c r="D149" s="284"/>
      <c r="E149" s="284"/>
      <c r="F149" s="284"/>
      <c r="G149" s="284"/>
      <c r="H149" s="284"/>
      <c r="I149" s="284"/>
      <c r="J149" s="284"/>
    </row>
    <row r="163" spans="1:11" x14ac:dyDescent="0.15">
      <c r="B163" s="226"/>
    </row>
    <row r="164" spans="1:11" ht="14" x14ac:dyDescent="0.2">
      <c r="A164" s="3" t="s">
        <v>108</v>
      </c>
      <c r="B164" s="226"/>
      <c r="C164" s="5"/>
      <c r="D164" s="5"/>
    </row>
    <row r="165" spans="1:11" x14ac:dyDescent="0.15">
      <c r="A165" s="1" t="s">
        <v>109</v>
      </c>
      <c r="B165" s="226"/>
    </row>
    <row r="166" spans="1:11" x14ac:dyDescent="0.15">
      <c r="A166" s="1" t="s">
        <v>110</v>
      </c>
      <c r="B166" s="226"/>
    </row>
    <row r="167" spans="1:11" x14ac:dyDescent="0.15">
      <c r="A167" s="1" t="s">
        <v>111</v>
      </c>
      <c r="B167" s="226"/>
    </row>
    <row r="168" spans="1:11" x14ac:dyDescent="0.15">
      <c r="A168" s="1" t="s">
        <v>112</v>
      </c>
      <c r="B168" s="226"/>
    </row>
    <row r="169" spans="1:11" x14ac:dyDescent="0.15">
      <c r="A169" s="1" t="s">
        <v>113</v>
      </c>
    </row>
    <row r="170" spans="1:11" x14ac:dyDescent="0.15">
      <c r="A170" s="1" t="s">
        <v>114</v>
      </c>
    </row>
    <row r="171" spans="1:11" ht="14" thickBot="1" x14ac:dyDescent="0.2">
      <c r="A171" s="2" t="s">
        <v>115</v>
      </c>
      <c r="B171" s="2"/>
      <c r="C171" s="2"/>
      <c r="D171" s="2"/>
      <c r="E171" s="2"/>
      <c r="F171" s="2"/>
      <c r="G171" s="2"/>
      <c r="H171" s="2"/>
      <c r="I171" s="2"/>
      <c r="J171" s="2"/>
      <c r="K171" s="2"/>
    </row>
    <row r="172" spans="1:11" ht="14" thickTop="1" x14ac:dyDescent="0.15"/>
    <row r="173" spans="1:11" ht="14" x14ac:dyDescent="0.2">
      <c r="A173" s="3" t="s">
        <v>116</v>
      </c>
      <c r="B173" s="5"/>
      <c r="C173" s="5"/>
      <c r="D173" s="5"/>
    </row>
    <row r="174" spans="1:11" x14ac:dyDescent="0.15">
      <c r="A174" s="1" t="s">
        <v>109</v>
      </c>
    </row>
    <row r="175" spans="1:11" x14ac:dyDescent="0.15">
      <c r="A175" s="1" t="s">
        <v>110</v>
      </c>
    </row>
    <row r="176" spans="1:11" x14ac:dyDescent="0.15">
      <c r="A176" s="1" t="s">
        <v>111</v>
      </c>
    </row>
    <row r="177" spans="1:11" x14ac:dyDescent="0.15">
      <c r="A177" s="1" t="s">
        <v>112</v>
      </c>
    </row>
    <row r="178" spans="1:11" x14ac:dyDescent="0.15">
      <c r="A178" s="1" t="s">
        <v>113</v>
      </c>
    </row>
    <row r="179" spans="1:11" x14ac:dyDescent="0.15">
      <c r="A179" s="1" t="s">
        <v>114</v>
      </c>
    </row>
    <row r="180" spans="1:11" ht="14" thickBot="1" x14ac:dyDescent="0.2">
      <c r="A180" s="2" t="s">
        <v>115</v>
      </c>
      <c r="B180" s="2"/>
      <c r="C180" s="2"/>
      <c r="D180" s="2"/>
      <c r="E180" s="2"/>
      <c r="F180" s="2"/>
      <c r="G180" s="2"/>
      <c r="H180" s="2"/>
      <c r="I180" s="2"/>
      <c r="J180" s="2"/>
      <c r="K180" s="2"/>
    </row>
    <row r="181" spans="1:11" ht="14" thickTop="1" x14ac:dyDescent="0.15"/>
  </sheetData>
  <mergeCells count="26">
    <mergeCell ref="A88:A122"/>
    <mergeCell ref="B88:B94"/>
    <mergeCell ref="C88:D88"/>
    <mergeCell ref="B96:B106"/>
    <mergeCell ref="C96:D96"/>
    <mergeCell ref="B108:B118"/>
    <mergeCell ref="B120:B122"/>
    <mergeCell ref="A50:A86"/>
    <mergeCell ref="B50:B58"/>
    <mergeCell ref="C50:D50"/>
    <mergeCell ref="B60:B70"/>
    <mergeCell ref="C60:D60"/>
    <mergeCell ref="B72:B82"/>
    <mergeCell ref="B84:B86"/>
    <mergeCell ref="A1:I4"/>
    <mergeCell ref="C6:D6"/>
    <mergeCell ref="A7:A47"/>
    <mergeCell ref="B7:B15"/>
    <mergeCell ref="C7:D7"/>
    <mergeCell ref="B17:B27"/>
    <mergeCell ref="C17:D17"/>
    <mergeCell ref="B29:B41"/>
    <mergeCell ref="C29:D29"/>
    <mergeCell ref="B43:B44"/>
    <mergeCell ref="C43:D43"/>
    <mergeCell ref="B46:B47"/>
  </mergeCells>
  <pageMargins left="0.7" right="0.7" top="0.75" bottom="0.75" header="0.3" footer="0.3"/>
  <drawing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7361-34C3-1149-BFAE-00FFF2A5E7B6}">
  <dimension ref="A1:AH212"/>
  <sheetViews>
    <sheetView zoomScale="78" workbookViewId="0">
      <pane xSplit="2" ySplit="1" topLeftCell="E2" activePane="bottomRight" state="frozen"/>
      <selection sqref="A1:B1"/>
      <selection pane="topRight" sqref="A1:B1"/>
      <selection pane="bottomLeft" sqref="A1:B1"/>
      <selection pane="bottomRight" sqref="A1:B1"/>
    </sheetView>
  </sheetViews>
  <sheetFormatPr baseColWidth="10" defaultColWidth="8.83203125" defaultRowHeight="15" x14ac:dyDescent="0.2"/>
  <cols>
    <col min="1" max="1" width="1.5" style="104" customWidth="1"/>
    <col min="2" max="2" width="70.5" style="104" customWidth="1"/>
    <col min="3" max="3" width="8.83203125" style="123" bestFit="1" customWidth="1"/>
    <col min="4" max="4" width="11.5" style="104" customWidth="1" collapsed="1"/>
    <col min="5" max="6" width="11.5" style="104" customWidth="1"/>
    <col min="7" max="9" width="11.5" style="104" bestFit="1" customWidth="1"/>
    <col min="10" max="11" width="11.5" style="104" customWidth="1"/>
    <col min="12" max="13" width="11.5" style="124" customWidth="1"/>
    <col min="14" max="14" width="9.5" style="72" bestFit="1" customWidth="1"/>
    <col min="15" max="30" width="8.83203125" style="72"/>
    <col min="31" max="31" width="57.5" style="72" bestFit="1" customWidth="1"/>
    <col min="32" max="16384" width="8.83203125" style="72"/>
  </cols>
  <sheetData>
    <row r="1" spans="1:34" x14ac:dyDescent="0.2">
      <c r="A1" s="1230" t="s">
        <v>343</v>
      </c>
      <c r="B1" s="1231"/>
      <c r="C1" s="108" t="s">
        <v>675</v>
      </c>
      <c r="D1" s="332" t="s">
        <v>671</v>
      </c>
      <c r="E1" s="333">
        <v>2013</v>
      </c>
      <c r="F1" s="333">
        <v>2014</v>
      </c>
      <c r="G1" s="333">
        <v>2015</v>
      </c>
      <c r="H1" s="333">
        <v>2016</v>
      </c>
      <c r="I1" s="333">
        <v>2017</v>
      </c>
      <c r="J1" s="111">
        <v>2018</v>
      </c>
      <c r="K1" s="111">
        <v>2019</v>
      </c>
      <c r="L1" s="113">
        <v>2020</v>
      </c>
      <c r="M1" s="113">
        <v>2021</v>
      </c>
      <c r="R1" s="332" t="s">
        <v>671</v>
      </c>
      <c r="S1" s="333">
        <v>2013</v>
      </c>
      <c r="T1" s="333">
        <v>2014</v>
      </c>
      <c r="U1" s="333">
        <v>2015</v>
      </c>
      <c r="V1" s="333">
        <v>2016</v>
      </c>
      <c r="W1" s="333">
        <v>2017</v>
      </c>
      <c r="X1" s="111">
        <v>2018</v>
      </c>
      <c r="Y1" s="111">
        <v>2019</v>
      </c>
      <c r="Z1" s="113">
        <v>2020</v>
      </c>
      <c r="AA1" s="113">
        <v>2021</v>
      </c>
    </row>
    <row r="2" spans="1:34" x14ac:dyDescent="0.2">
      <c r="B2" s="128" t="s">
        <v>686</v>
      </c>
      <c r="C2" s="105"/>
      <c r="D2" s="129"/>
      <c r="E2" s="131"/>
      <c r="F2" s="131"/>
      <c r="G2" s="131"/>
      <c r="H2" s="131"/>
      <c r="I2" s="131"/>
      <c r="J2" s="131"/>
      <c r="K2" s="131"/>
      <c r="L2" s="132"/>
      <c r="M2" s="132"/>
    </row>
    <row r="3" spans="1:34" x14ac:dyDescent="0.2">
      <c r="B3" s="133" t="s">
        <v>511</v>
      </c>
      <c r="C3" s="105" t="s">
        <v>687</v>
      </c>
      <c r="D3" s="134">
        <v>11016976</v>
      </c>
      <c r="E3" s="134">
        <v>11061557</v>
      </c>
      <c r="F3" s="134">
        <v>10380122</v>
      </c>
      <c r="G3" s="134">
        <v>8410614</v>
      </c>
      <c r="H3" s="134">
        <v>7877714.8144002035</v>
      </c>
      <c r="I3" s="134">
        <v>8494477</v>
      </c>
      <c r="J3" s="134">
        <v>8708988</v>
      </c>
      <c r="K3" s="134">
        <v>9005629</v>
      </c>
      <c r="L3" s="135">
        <v>2713774</v>
      </c>
      <c r="M3" s="135">
        <v>3342380.5721577452</v>
      </c>
    </row>
    <row r="4" spans="1:34" x14ac:dyDescent="0.2">
      <c r="B4" s="133" t="s">
        <v>512</v>
      </c>
      <c r="C4" s="105" t="s">
        <v>687</v>
      </c>
      <c r="D4" s="134">
        <v>1939751</v>
      </c>
      <c r="E4" s="134">
        <v>1862980</v>
      </c>
      <c r="F4" s="134">
        <v>1713379</v>
      </c>
      <c r="G4" s="134">
        <v>1329431</v>
      </c>
      <c r="H4" s="134">
        <v>1110625</v>
      </c>
      <c r="I4" s="134">
        <v>1119430</v>
      </c>
      <c r="J4" s="134">
        <v>1186468</v>
      </c>
      <c r="K4" s="134">
        <v>1064434</v>
      </c>
      <c r="L4" s="135">
        <v>1209893</v>
      </c>
      <c r="M4" s="135">
        <v>1541634.5873578675</v>
      </c>
    </row>
    <row r="5" spans="1:34" x14ac:dyDescent="0.2">
      <c r="B5" s="133" t="s">
        <v>499</v>
      </c>
      <c r="C5" s="105" t="s">
        <v>687</v>
      </c>
      <c r="D5" s="134">
        <v>265365</v>
      </c>
      <c r="E5" s="134">
        <v>341565</v>
      </c>
      <c r="F5" s="134">
        <v>377645</v>
      </c>
      <c r="G5" s="134">
        <v>385781</v>
      </c>
      <c r="H5" s="134">
        <v>538747.75842162571</v>
      </c>
      <c r="I5" s="134">
        <v>549889</v>
      </c>
      <c r="J5" s="134">
        <v>472758</v>
      </c>
      <c r="K5" s="134">
        <v>360864</v>
      </c>
      <c r="L5" s="135">
        <v>411002</v>
      </c>
      <c r="M5" s="135">
        <v>227331.16153707882</v>
      </c>
    </row>
    <row r="6" spans="1:34" x14ac:dyDescent="0.2">
      <c r="B6" s="137" t="s">
        <v>10</v>
      </c>
      <c r="C6" s="138" t="s">
        <v>687</v>
      </c>
      <c r="D6" s="139">
        <v>13222092</v>
      </c>
      <c r="E6" s="139">
        <v>13266102</v>
      </c>
      <c r="F6" s="139">
        <v>12471146</v>
      </c>
      <c r="G6" s="139">
        <v>10125826</v>
      </c>
      <c r="H6" s="139">
        <v>9527087.5728218295</v>
      </c>
      <c r="I6" s="139">
        <v>10163796</v>
      </c>
      <c r="J6" s="139">
        <v>10368214</v>
      </c>
      <c r="K6" s="139">
        <v>10430927</v>
      </c>
      <c r="L6" s="140">
        <v>4334669</v>
      </c>
      <c r="M6" s="140">
        <v>5111346.3210526919</v>
      </c>
    </row>
    <row r="7" spans="1:34" x14ac:dyDescent="0.2">
      <c r="B7" s="106" t="s">
        <v>669</v>
      </c>
      <c r="C7" s="105"/>
      <c r="D7" s="134"/>
      <c r="E7" s="134"/>
      <c r="F7" s="134"/>
      <c r="G7" s="134"/>
      <c r="H7" s="134"/>
      <c r="I7" s="134"/>
      <c r="J7" s="337"/>
      <c r="K7" s="337"/>
      <c r="L7" s="337"/>
      <c r="M7" s="337"/>
    </row>
    <row r="8" spans="1:34" x14ac:dyDescent="0.2">
      <c r="B8" s="142" t="s">
        <v>11</v>
      </c>
      <c r="C8" s="143"/>
      <c r="D8" s="144"/>
      <c r="E8" s="144"/>
      <c r="F8" s="144"/>
      <c r="G8" s="144"/>
      <c r="H8" s="144"/>
      <c r="I8" s="144"/>
      <c r="J8" s="144"/>
      <c r="K8" s="144"/>
      <c r="L8" s="145"/>
      <c r="M8" s="145"/>
      <c r="N8" s="72" t="s">
        <v>670</v>
      </c>
      <c r="O8" s="72" t="s">
        <v>1286</v>
      </c>
      <c r="AB8" s="72" t="s">
        <v>1281</v>
      </c>
      <c r="AC8" s="72" t="s">
        <v>1286</v>
      </c>
      <c r="AD8" s="72" t="s">
        <v>1287</v>
      </c>
    </row>
    <row r="9" spans="1:34" ht="16" x14ac:dyDescent="0.2">
      <c r="B9" s="133" t="s">
        <v>12</v>
      </c>
      <c r="C9" s="105" t="s">
        <v>687</v>
      </c>
      <c r="D9" s="134">
        <v>-2596320</v>
      </c>
      <c r="E9" s="134">
        <v>-2492769</v>
      </c>
      <c r="F9" s="134">
        <v>-2350102</v>
      </c>
      <c r="G9" s="134">
        <v>-2072805</v>
      </c>
      <c r="H9" s="134">
        <v>-1951132</v>
      </c>
      <c r="I9" s="134">
        <v>-2023634</v>
      </c>
      <c r="J9" s="134">
        <v>-1819969</v>
      </c>
      <c r="K9" s="134">
        <v>-1794762</v>
      </c>
      <c r="L9" s="135">
        <v>-962060</v>
      </c>
      <c r="M9" s="135">
        <v>-1041899.823286155</v>
      </c>
      <c r="N9" s="65">
        <f>-AVERAGE(D9:M9)</f>
        <v>1910545.2823286154</v>
      </c>
      <c r="O9" s="72">
        <f>+_xlfn.STDEV.P(D9:M9)</f>
        <v>521442.72746462113</v>
      </c>
      <c r="P9" s="338">
        <f>+N9/O9</f>
        <v>3.6639599743161479</v>
      </c>
      <c r="R9" s="92">
        <f t="shared" ref="R9:AA17" si="0">-D9/D$6</f>
        <v>0.19636227005529835</v>
      </c>
      <c r="S9" s="92">
        <f t="shared" si="0"/>
        <v>0.18790515857634746</v>
      </c>
      <c r="T9" s="92">
        <f t="shared" si="0"/>
        <v>0.1884431470852799</v>
      </c>
      <c r="U9" s="92">
        <f t="shared" si="0"/>
        <v>0.20470478161485295</v>
      </c>
      <c r="V9" s="92">
        <f t="shared" si="0"/>
        <v>0.20479836939528562</v>
      </c>
      <c r="W9" s="92">
        <f t="shared" si="0"/>
        <v>0.19910218583686645</v>
      </c>
      <c r="X9" s="92">
        <f t="shared" si="0"/>
        <v>0.17553351040015186</v>
      </c>
      <c r="Y9" s="92">
        <f t="shared" si="0"/>
        <v>0.17206160104466267</v>
      </c>
      <c r="Z9" s="92">
        <f t="shared" si="0"/>
        <v>0.22194543574146031</v>
      </c>
      <c r="AA9" s="92">
        <f t="shared" si="0"/>
        <v>0.20384058481710815</v>
      </c>
      <c r="AB9" s="339">
        <f t="shared" ref="AB9:AB17" si="1">+AVERAGE(R9:AA9)</f>
        <v>0.19546970445673137</v>
      </c>
      <c r="AC9" s="88">
        <f t="shared" ref="AC9:AC17" si="2">+_xlfn.STDEV.P(R9:AA9)</f>
        <v>1.4175063388670934E-2</v>
      </c>
      <c r="AD9" s="338">
        <f>+AB9/AC9</f>
        <v>13.789688207881714</v>
      </c>
    </row>
    <row r="10" spans="1:34" ht="16" x14ac:dyDescent="0.2">
      <c r="B10" s="133" t="s">
        <v>13</v>
      </c>
      <c r="C10" s="105" t="s">
        <v>687</v>
      </c>
      <c r="D10" s="134">
        <v>-4780289</v>
      </c>
      <c r="E10" s="134">
        <v>-4414249</v>
      </c>
      <c r="F10" s="134">
        <v>-4167030</v>
      </c>
      <c r="G10" s="134">
        <v>-2651066</v>
      </c>
      <c r="H10" s="134">
        <v>-2056643</v>
      </c>
      <c r="I10" s="134">
        <v>-2318815</v>
      </c>
      <c r="J10" s="134">
        <v>-2983028</v>
      </c>
      <c r="K10" s="134">
        <v>-2929008</v>
      </c>
      <c r="L10" s="135">
        <v>-1045343</v>
      </c>
      <c r="M10" s="135">
        <v>-1487776.5480146292</v>
      </c>
      <c r="N10" s="65">
        <f>-AVERAGE(D10:M10)</f>
        <v>2883324.7548014629</v>
      </c>
      <c r="O10" s="72">
        <f t="shared" ref="O10:O17" si="3">+_xlfn.STDEV.P(D10:M10)</f>
        <v>1182534.5275831129</v>
      </c>
      <c r="P10" s="338">
        <f t="shared" ref="P10:P17" si="4">+N10/O10</f>
        <v>2.4382584081451371</v>
      </c>
      <c r="R10" s="92">
        <f t="shared" si="0"/>
        <v>0.36153802287867909</v>
      </c>
      <c r="S10" s="92">
        <f t="shared" si="0"/>
        <v>0.3327464993107998</v>
      </c>
      <c r="T10" s="92">
        <f t="shared" si="0"/>
        <v>0.33413368747346878</v>
      </c>
      <c r="U10" s="92">
        <f t="shared" si="0"/>
        <v>0.26181232029861068</v>
      </c>
      <c r="V10" s="92">
        <f t="shared" si="0"/>
        <v>0.21587321248804714</v>
      </c>
      <c r="W10" s="92">
        <f t="shared" si="0"/>
        <v>0.22814458298848186</v>
      </c>
      <c r="X10" s="92">
        <f t="shared" si="0"/>
        <v>0.28770895353818893</v>
      </c>
      <c r="Y10" s="92">
        <f>(-K10/'Forecast Drivers'!E10/SUM(J3:J4))</f>
        <v>0.15913723267234656</v>
      </c>
      <c r="Z10" s="92">
        <f>(-L10/'Forecast Drivers'!F10/SUM(K3:K4))</f>
        <v>9.4369997306056386E-2</v>
      </c>
      <c r="AA10" s="92">
        <f>(-M10/'Forecast Drivers'!G10/SUM(L3:L4))</f>
        <v>0.22436693854788856</v>
      </c>
      <c r="AB10" s="339">
        <f t="shared" si="1"/>
        <v>0.24998314475025679</v>
      </c>
      <c r="AC10" s="88">
        <f t="shared" si="2"/>
        <v>7.9185715412279575E-2</v>
      </c>
      <c r="AD10" s="338">
        <f t="shared" ref="AD10:AD17" si="5">+AB10/AC10</f>
        <v>3.1569222232661818</v>
      </c>
    </row>
    <row r="11" spans="1:34" ht="16" x14ac:dyDescent="0.2">
      <c r="B11" s="133" t="s">
        <v>666</v>
      </c>
      <c r="C11" s="105" t="s">
        <v>687</v>
      </c>
      <c r="D11" s="134">
        <v>-417124</v>
      </c>
      <c r="E11" s="134">
        <v>-408671</v>
      </c>
      <c r="F11" s="134">
        <v>-365508</v>
      </c>
      <c r="G11" s="134">
        <v>-302774</v>
      </c>
      <c r="H11" s="134">
        <v>-269296</v>
      </c>
      <c r="I11" s="134">
        <v>-252475</v>
      </c>
      <c r="J11" s="134">
        <v>-222507</v>
      </c>
      <c r="K11" s="134">
        <v>-221884</v>
      </c>
      <c r="L11" s="135">
        <v>-91908</v>
      </c>
      <c r="M11" s="135">
        <v>-89207.963586652564</v>
      </c>
      <c r="N11" s="65">
        <f t="shared" ref="N11:N15" si="6">-AVERAGE(D11:M11)</f>
        <v>264135.49635866529</v>
      </c>
      <c r="O11" s="72">
        <f t="shared" si="3"/>
        <v>109548.15533266313</v>
      </c>
      <c r="P11" s="338">
        <f t="shared" si="4"/>
        <v>2.4111359571192161</v>
      </c>
      <c r="R11" s="92">
        <f t="shared" ref="R11:AA11" si="7">-D11/D3</f>
        <v>3.7861932348767939E-2</v>
      </c>
      <c r="S11" s="92">
        <f t="shared" si="7"/>
        <v>3.6945160613465172E-2</v>
      </c>
      <c r="T11" s="92">
        <f t="shared" si="7"/>
        <v>3.5212302899715435E-2</v>
      </c>
      <c r="U11" s="92">
        <f t="shared" si="7"/>
        <v>3.5999036455602408E-2</v>
      </c>
      <c r="V11" s="92">
        <f t="shared" si="7"/>
        <v>3.4184532741365015E-2</v>
      </c>
      <c r="W11" s="92">
        <f t="shared" si="7"/>
        <v>2.9722253647870258E-2</v>
      </c>
      <c r="X11" s="92">
        <f t="shared" si="7"/>
        <v>2.5549122354973964E-2</v>
      </c>
      <c r="Y11" s="92">
        <f t="shared" si="7"/>
        <v>2.4638367847487387E-2</v>
      </c>
      <c r="Z11" s="92">
        <f t="shared" si="7"/>
        <v>3.386722696878959E-2</v>
      </c>
      <c r="AA11" s="92">
        <f t="shared" si="7"/>
        <v>2.6689947975930956E-2</v>
      </c>
      <c r="AB11" s="339">
        <f>+AVERAGE(R11:AA11)</f>
        <v>3.2066988385396809E-2</v>
      </c>
      <c r="AC11" s="88">
        <f t="shared" si="2"/>
        <v>4.7173522609988642E-3</v>
      </c>
      <c r="AD11" s="338">
        <f t="shared" si="5"/>
        <v>6.7976667018305017</v>
      </c>
    </row>
    <row r="12" spans="1:34" ht="16" x14ac:dyDescent="0.2">
      <c r="B12" s="133" t="s">
        <v>15</v>
      </c>
      <c r="C12" s="105" t="s">
        <v>687</v>
      </c>
      <c r="D12" s="134">
        <v>-1087024</v>
      </c>
      <c r="E12" s="134">
        <v>-1041733</v>
      </c>
      <c r="F12" s="134">
        <v>-991264</v>
      </c>
      <c r="G12" s="134">
        <v>-934407</v>
      </c>
      <c r="H12" s="134">
        <v>-960327</v>
      </c>
      <c r="I12" s="134">
        <v>-1001625</v>
      </c>
      <c r="J12" s="134">
        <v>-1372628</v>
      </c>
      <c r="K12" s="134">
        <v>-1469976</v>
      </c>
      <c r="L12" s="135">
        <v>-1389387</v>
      </c>
      <c r="M12" s="135">
        <v>-1165394.1617727559</v>
      </c>
      <c r="N12" s="65">
        <f t="shared" si="6"/>
        <v>1141376.5161772757</v>
      </c>
      <c r="O12" s="72">
        <f t="shared" si="3"/>
        <v>188176.38134932783</v>
      </c>
      <c r="P12" s="338">
        <f t="shared" si="4"/>
        <v>6.0654610743015693</v>
      </c>
      <c r="R12" s="92">
        <f t="shared" si="0"/>
        <v>8.2212708851216579E-2</v>
      </c>
      <c r="S12" s="92">
        <f t="shared" si="0"/>
        <v>7.8525930224266335E-2</v>
      </c>
      <c r="T12" s="92">
        <f t="shared" si="0"/>
        <v>7.9484595882367184E-2</v>
      </c>
      <c r="U12" s="92">
        <f t="shared" si="0"/>
        <v>9.2279582919951419E-2</v>
      </c>
      <c r="V12" s="92">
        <f t="shared" si="0"/>
        <v>0.1007996402530769</v>
      </c>
      <c r="W12" s="92">
        <f t="shared" si="0"/>
        <v>9.854831797096282E-2</v>
      </c>
      <c r="X12" s="92">
        <f t="shared" si="0"/>
        <v>0.13238808535394814</v>
      </c>
      <c r="Y12" s="92">
        <f t="shared" si="0"/>
        <v>0.14092477111574073</v>
      </c>
      <c r="Z12" s="92">
        <f t="shared" si="0"/>
        <v>0.32052897233906441</v>
      </c>
      <c r="AA12" s="92">
        <f t="shared" si="0"/>
        <v>0.228001408742881</v>
      </c>
      <c r="AB12" s="88">
        <f t="shared" si="1"/>
        <v>0.13536940136534756</v>
      </c>
      <c r="AC12" s="88">
        <f t="shared" si="2"/>
        <v>7.516117652473113E-2</v>
      </c>
      <c r="AD12" s="338">
        <f t="shared" si="5"/>
        <v>1.8010548480545063</v>
      </c>
    </row>
    <row r="13" spans="1:34" ht="16" x14ac:dyDescent="0.2">
      <c r="B13" s="133" t="s">
        <v>16</v>
      </c>
      <c r="C13" s="105" t="s">
        <v>687</v>
      </c>
      <c r="D13" s="134">
        <v>-1377053</v>
      </c>
      <c r="E13" s="134">
        <v>-1373061</v>
      </c>
      <c r="F13" s="134">
        <v>-1327238</v>
      </c>
      <c r="G13" s="134">
        <v>-1109825</v>
      </c>
      <c r="H13" s="134">
        <v>-1077406</v>
      </c>
      <c r="I13" s="134">
        <v>-1172129</v>
      </c>
      <c r="J13" s="134">
        <v>-1206881</v>
      </c>
      <c r="K13" s="134">
        <v>-1275859</v>
      </c>
      <c r="L13" s="135">
        <v>-720004</v>
      </c>
      <c r="M13" s="135">
        <v>-755187.95924240898</v>
      </c>
      <c r="N13" s="65">
        <f t="shared" si="6"/>
        <v>1139464.3959242408</v>
      </c>
      <c r="O13" s="72">
        <f t="shared" si="3"/>
        <v>223346.19972785804</v>
      </c>
      <c r="P13" s="338">
        <f t="shared" si="4"/>
        <v>5.1017854671924159</v>
      </c>
      <c r="R13" s="92">
        <f>-D13/SUM(D3:D4)</f>
        <v>0.10628093036150256</v>
      </c>
      <c r="S13" s="92">
        <f t="shared" ref="S13:AA13" si="8">-E13/SUM(E3:E4)</f>
        <v>0.10623676499978298</v>
      </c>
      <c r="T13" s="92">
        <f t="shared" si="8"/>
        <v>0.10974803739628416</v>
      </c>
      <c r="U13" s="92">
        <f t="shared" si="8"/>
        <v>0.11394454543074493</v>
      </c>
      <c r="V13" s="92">
        <f t="shared" si="8"/>
        <v>0.11986707470426182</v>
      </c>
      <c r="W13" s="92">
        <f t="shared" si="8"/>
        <v>0.12192015171355412</v>
      </c>
      <c r="X13" s="92">
        <f t="shared" si="8"/>
        <v>0.12196315157179215</v>
      </c>
      <c r="Y13" s="92">
        <f t="shared" si="8"/>
        <v>0.12669821430114192</v>
      </c>
      <c r="Z13" s="92">
        <f t="shared" si="8"/>
        <v>0.18350283038800183</v>
      </c>
      <c r="AA13" s="92">
        <f t="shared" si="8"/>
        <v>0.15462440933891514</v>
      </c>
      <c r="AB13" s="339">
        <f t="shared" si="1"/>
        <v>0.12647861102059815</v>
      </c>
      <c r="AC13" s="88">
        <f t="shared" si="2"/>
        <v>2.3202522813553211E-2</v>
      </c>
      <c r="AD13" s="338">
        <f t="shared" si="5"/>
        <v>5.4510715079102789</v>
      </c>
    </row>
    <row r="14" spans="1:34" ht="16" x14ac:dyDescent="0.2">
      <c r="B14" s="133" t="s">
        <v>17</v>
      </c>
      <c r="C14" s="105" t="s">
        <v>687</v>
      </c>
      <c r="D14" s="134">
        <v>-314921</v>
      </c>
      <c r="E14" s="134">
        <v>-331405</v>
      </c>
      <c r="F14" s="134">
        <v>-300325</v>
      </c>
      <c r="G14" s="134">
        <v>-295440</v>
      </c>
      <c r="H14" s="134">
        <v>-286622</v>
      </c>
      <c r="I14" s="134">
        <v>-288662</v>
      </c>
      <c r="J14" s="134">
        <v>-280279</v>
      </c>
      <c r="K14" s="134">
        <v>-261330</v>
      </c>
      <c r="L14" s="135">
        <v>-97689</v>
      </c>
      <c r="M14" s="135">
        <v>-77362.937950207517</v>
      </c>
      <c r="N14" s="65">
        <f t="shared" si="6"/>
        <v>253403.59379502074</v>
      </c>
      <c r="O14" s="72">
        <f t="shared" si="3"/>
        <v>84974.330692844436</v>
      </c>
      <c r="P14" s="338">
        <f t="shared" si="4"/>
        <v>2.9821193262586001</v>
      </c>
      <c r="R14" s="92">
        <f>-D14/D$3</f>
        <v>2.8585067263466855E-2</v>
      </c>
      <c r="S14" s="92">
        <f t="shared" ref="S14:AA14" si="9">-E14/E$3</f>
        <v>2.996006800850911E-2</v>
      </c>
      <c r="T14" s="92">
        <f t="shared" si="9"/>
        <v>2.8932704259159961E-2</v>
      </c>
      <c r="U14" s="92">
        <f t="shared" si="9"/>
        <v>3.5127043043468649E-2</v>
      </c>
      <c r="V14" s="92">
        <f t="shared" si="9"/>
        <v>3.6383901518758262E-2</v>
      </c>
      <c r="W14" s="92">
        <f t="shared" si="9"/>
        <v>3.398231580355094E-2</v>
      </c>
      <c r="X14" s="92">
        <f t="shared" si="9"/>
        <v>3.2182728923268698E-2</v>
      </c>
      <c r="Y14" s="92">
        <f t="shared" si="9"/>
        <v>2.9018517196300227E-2</v>
      </c>
      <c r="Z14" s="92">
        <f t="shared" si="9"/>
        <v>3.5997470681051552E-2</v>
      </c>
      <c r="AA14" s="92">
        <f t="shared" si="9"/>
        <v>2.3146059007955584E-2</v>
      </c>
      <c r="AB14" s="339">
        <f t="shared" si="1"/>
        <v>3.1331587570548984E-2</v>
      </c>
      <c r="AC14" s="88">
        <f t="shared" si="2"/>
        <v>3.9621317330421407E-3</v>
      </c>
      <c r="AD14" s="338">
        <f t="shared" si="5"/>
        <v>7.9077601860785345</v>
      </c>
    </row>
    <row r="15" spans="1:34" ht="16" x14ac:dyDescent="0.2">
      <c r="B15" s="133" t="s">
        <v>18</v>
      </c>
      <c r="C15" s="105" t="s">
        <v>687</v>
      </c>
      <c r="D15" s="134">
        <v>-422036</v>
      </c>
      <c r="E15" s="134">
        <v>-441077</v>
      </c>
      <c r="F15" s="134">
        <v>-521384</v>
      </c>
      <c r="G15" s="134">
        <v>-525134</v>
      </c>
      <c r="H15" s="134">
        <v>-568979</v>
      </c>
      <c r="I15" s="134">
        <v>-579552</v>
      </c>
      <c r="J15" s="134">
        <v>0</v>
      </c>
      <c r="K15" s="134">
        <v>0</v>
      </c>
      <c r="L15" s="135">
        <v>0</v>
      </c>
      <c r="M15" s="135">
        <v>-120629</v>
      </c>
      <c r="N15" s="65">
        <f t="shared" si="6"/>
        <v>317879.09999999998</v>
      </c>
      <c r="O15" s="72">
        <f t="shared" si="3"/>
        <v>241654.30996671671</v>
      </c>
      <c r="P15" s="338">
        <f t="shared" si="4"/>
        <v>1.3154290525328589</v>
      </c>
      <c r="R15" s="92">
        <f t="shared" si="0"/>
        <v>3.1919003437580078E-2</v>
      </c>
      <c r="S15" s="92">
        <f t="shared" si="0"/>
        <v>3.324842519679104E-2</v>
      </c>
      <c r="T15" s="92">
        <f t="shared" si="0"/>
        <v>4.1807224452347844E-2</v>
      </c>
      <c r="U15" s="92">
        <f t="shared" si="0"/>
        <v>5.1860855598348223E-2</v>
      </c>
      <c r="V15" s="92">
        <f t="shared" si="0"/>
        <v>5.9722238895246561E-2</v>
      </c>
      <c r="W15" s="92">
        <f t="shared" si="0"/>
        <v>5.7021215301841947E-2</v>
      </c>
      <c r="X15" s="92">
        <f t="shared" si="0"/>
        <v>0</v>
      </c>
      <c r="Y15" s="92">
        <f t="shared" si="0"/>
        <v>0</v>
      </c>
      <c r="Z15" s="92">
        <f t="shared" si="0"/>
        <v>0</v>
      </c>
      <c r="AA15" s="92">
        <f t="shared" si="0"/>
        <v>2.360024001957203E-2</v>
      </c>
      <c r="AB15" s="88">
        <f t="shared" si="1"/>
        <v>2.9917920290172768E-2</v>
      </c>
      <c r="AC15" s="88">
        <f t="shared" si="2"/>
        <v>2.2329329402305361E-2</v>
      </c>
      <c r="AD15" s="338">
        <f t="shared" si="5"/>
        <v>1.3398485799167767</v>
      </c>
    </row>
    <row r="16" spans="1:34" ht="16" x14ac:dyDescent="0.2">
      <c r="B16" s="133" t="s">
        <v>19</v>
      </c>
      <c r="C16" s="105" t="s">
        <v>687</v>
      </c>
      <c r="D16" s="134">
        <v>-424350</v>
      </c>
      <c r="E16" s="134">
        <v>-477086</v>
      </c>
      <c r="F16" s="134">
        <v>-452731</v>
      </c>
      <c r="G16" s="134">
        <v>-437236</v>
      </c>
      <c r="H16" s="134">
        <v>-366153</v>
      </c>
      <c r="I16" s="134">
        <v>-430824</v>
      </c>
      <c r="J16" s="134">
        <v>-366627</v>
      </c>
      <c r="K16" s="134">
        <v>-444612</v>
      </c>
      <c r="L16" s="135">
        <v>-472382</v>
      </c>
      <c r="M16" s="135">
        <v>-533738.54935394623</v>
      </c>
      <c r="N16" s="65">
        <f>-AVERAGE(D16:M16)</f>
        <v>440573.95493539458</v>
      </c>
      <c r="O16" s="72">
        <f t="shared" si="3"/>
        <v>47502.287657862871</v>
      </c>
      <c r="P16" s="338">
        <f t="shared" si="4"/>
        <v>9.2747944711346566</v>
      </c>
      <c r="R16" s="92">
        <f>-D16/SUM(D3:D4)</f>
        <v>3.2751326781833096E-2</v>
      </c>
      <c r="S16" s="92">
        <f t="shared" ref="S16:AA16" si="10">-E16/SUM(E3:E4)</f>
        <v>3.6913198515351076E-2</v>
      </c>
      <c r="T16" s="92">
        <f t="shared" si="10"/>
        <v>3.7435892220127158E-2</v>
      </c>
      <c r="U16" s="92">
        <f t="shared" si="10"/>
        <v>4.4890552353710894E-2</v>
      </c>
      <c r="V16" s="92">
        <f t="shared" si="10"/>
        <v>4.0736443832862984E-2</v>
      </c>
      <c r="W16" s="92">
        <f t="shared" si="10"/>
        <v>4.4812582439168594E-2</v>
      </c>
      <c r="X16" s="92">
        <f t="shared" si="10"/>
        <v>3.7050035895263442E-2</v>
      </c>
      <c r="Y16" s="92">
        <f t="shared" si="10"/>
        <v>4.4151858831469076E-2</v>
      </c>
      <c r="Z16" s="92">
        <f t="shared" si="10"/>
        <v>0.12039298951720419</v>
      </c>
      <c r="AA16" s="92">
        <f t="shared" si="10"/>
        <v>0.10928273805908527</v>
      </c>
      <c r="AB16" s="88">
        <f t="shared" si="1"/>
        <v>5.4841761844607574E-2</v>
      </c>
      <c r="AC16" s="88">
        <f t="shared" si="2"/>
        <v>3.0335719683313375E-2</v>
      </c>
      <c r="AD16" s="338">
        <f t="shared" si="5"/>
        <v>1.8078279472886256</v>
      </c>
      <c r="AF16" s="340" t="s">
        <v>1281</v>
      </c>
      <c r="AG16" s="340" t="s">
        <v>1286</v>
      </c>
      <c r="AH16" s="340" t="s">
        <v>1287</v>
      </c>
    </row>
    <row r="17" spans="2:34" ht="16" x14ac:dyDescent="0.2">
      <c r="B17" s="133" t="s">
        <v>667</v>
      </c>
      <c r="C17" s="105" t="s">
        <v>687</v>
      </c>
      <c r="D17" s="134">
        <v>-1711600</v>
      </c>
      <c r="E17" s="134">
        <v>-1642146</v>
      </c>
      <c r="F17" s="134">
        <v>-1482198</v>
      </c>
      <c r="G17" s="134">
        <v>-1283220</v>
      </c>
      <c r="H17" s="134">
        <v>-1422627.0000051539</v>
      </c>
      <c r="I17" s="134">
        <v>-1381546</v>
      </c>
      <c r="J17" s="134">
        <v>-1229312</v>
      </c>
      <c r="K17" s="134">
        <v>-1291895</v>
      </c>
      <c r="L17" s="135">
        <v>-1221184</v>
      </c>
      <c r="M17" s="135">
        <v>-959425.21952382871</v>
      </c>
      <c r="N17" s="65">
        <f>-AVERAGE(D17:M17)</f>
        <v>1362515.3219528983</v>
      </c>
      <c r="O17" s="72">
        <f t="shared" si="3"/>
        <v>207322.75048795599</v>
      </c>
      <c r="P17" s="338">
        <f t="shared" si="4"/>
        <v>6.5719527584217099</v>
      </c>
      <c r="R17" s="92">
        <f t="shared" si="0"/>
        <v>0.12945001441526802</v>
      </c>
      <c r="S17" s="92">
        <f t="shared" si="0"/>
        <v>0.12378511788918856</v>
      </c>
      <c r="T17" s="92">
        <f t="shared" si="0"/>
        <v>0.11885018425732487</v>
      </c>
      <c r="U17" s="92">
        <f t="shared" si="0"/>
        <v>0.12672743932198716</v>
      </c>
      <c r="V17" s="92">
        <f t="shared" si="0"/>
        <v>0.14932443825367145</v>
      </c>
      <c r="W17" s="92">
        <f t="shared" si="0"/>
        <v>0.13592815125372448</v>
      </c>
      <c r="X17" s="92">
        <f t="shared" si="0"/>
        <v>0.11856545399236551</v>
      </c>
      <c r="Y17" s="92">
        <f t="shared" si="0"/>
        <v>0.12385236710025868</v>
      </c>
      <c r="Z17" s="92"/>
      <c r="AA17" s="92"/>
      <c r="AB17" s="88">
        <f t="shared" si="1"/>
        <v>0.1283103958104736</v>
      </c>
      <c r="AC17" s="88">
        <f t="shared" si="2"/>
        <v>9.5409401628006821E-3</v>
      </c>
      <c r="AD17" s="338">
        <f t="shared" si="5"/>
        <v>13.448401690091819</v>
      </c>
      <c r="AE17" s="72" t="s">
        <v>1288</v>
      </c>
      <c r="AF17" s="88">
        <f>+AVERAGE(R17:Y17)</f>
        <v>0.1283103958104736</v>
      </c>
      <c r="AG17" s="92">
        <f>+_xlfn.STDEV.P(R17:Y17)</f>
        <v>9.5409401628006821E-3</v>
      </c>
      <c r="AH17" s="341">
        <f>+AF17/AG17</f>
        <v>13.448401690091819</v>
      </c>
    </row>
    <row r="18" spans="2:34" x14ac:dyDescent="0.2">
      <c r="B18" s="137" t="s">
        <v>22</v>
      </c>
      <c r="C18" s="138" t="s">
        <v>687</v>
      </c>
      <c r="D18" s="146">
        <v>-13130717</v>
      </c>
      <c r="E18" s="146">
        <v>-12622197</v>
      </c>
      <c r="F18" s="146">
        <v>-11957780</v>
      </c>
      <c r="G18" s="146">
        <v>-9611907</v>
      </c>
      <c r="H18" s="146">
        <v>-8959185.0000051539</v>
      </c>
      <c r="I18" s="146">
        <v>-9449262</v>
      </c>
      <c r="J18" s="146">
        <v>-9481231</v>
      </c>
      <c r="K18" s="146">
        <v>-9689326</v>
      </c>
      <c r="L18" s="147">
        <v>-5999957</v>
      </c>
      <c r="M18" s="147">
        <v>-6230622.1627305839</v>
      </c>
      <c r="AB18" s="867"/>
      <c r="AC18" s="867"/>
      <c r="AD18" s="871"/>
    </row>
    <row r="19" spans="2:34" x14ac:dyDescent="0.2">
      <c r="B19" s="106" t="s">
        <v>669</v>
      </c>
      <c r="C19" s="105"/>
      <c r="D19" s="134"/>
      <c r="E19" s="134"/>
      <c r="F19" s="134"/>
      <c r="G19" s="134"/>
      <c r="H19" s="134"/>
      <c r="I19" s="134"/>
      <c r="J19" s="134"/>
      <c r="K19" s="134"/>
      <c r="L19" s="135"/>
      <c r="M19" s="135"/>
      <c r="AB19" s="867"/>
      <c r="AC19" s="867"/>
      <c r="AD19" s="871"/>
    </row>
    <row r="20" spans="2:34" x14ac:dyDescent="0.2">
      <c r="B20" s="148" t="s">
        <v>513</v>
      </c>
      <c r="C20" s="149" t="s">
        <v>687</v>
      </c>
      <c r="D20" s="150">
        <v>91375</v>
      </c>
      <c r="E20" s="150">
        <v>643905</v>
      </c>
      <c r="F20" s="150">
        <v>513366</v>
      </c>
      <c r="G20" s="150">
        <v>513919</v>
      </c>
      <c r="H20" s="150">
        <v>567902.57281667599</v>
      </c>
      <c r="I20" s="150">
        <v>714534</v>
      </c>
      <c r="J20" s="150">
        <v>886983</v>
      </c>
      <c r="K20" s="150">
        <v>741601</v>
      </c>
      <c r="L20" s="151">
        <v>-1665288</v>
      </c>
      <c r="M20" s="151">
        <v>-1119275.841677892</v>
      </c>
      <c r="V20" s="872">
        <v>-0.13630241919935404</v>
      </c>
      <c r="W20" s="872">
        <v>-0.13902846758334114</v>
      </c>
      <c r="X20" s="872">
        <v>-0.13902846758334111</v>
      </c>
      <c r="Y20" s="872">
        <v>-0.13902846758334111</v>
      </c>
      <c r="Z20" s="872">
        <v>-0.13902846758334111</v>
      </c>
      <c r="AA20" s="872">
        <v>-0.13902846758334111</v>
      </c>
      <c r="AB20" s="867">
        <f t="shared" ref="AB20:AB29" si="11">+AVERAGE(R20:AA20)</f>
        <v>-0.13857412618600992</v>
      </c>
      <c r="AC20" s="867">
        <f t="shared" ref="AC20:AC29" si="12">+_xlfn.STDEV.P(R20:AA20)</f>
        <v>1.0159382494247596E-3</v>
      </c>
      <c r="AD20" s="871">
        <f t="shared" ref="AD20:AD29" si="13">+AB20/AC20</f>
        <v>-136.40014662748726</v>
      </c>
    </row>
    <row r="21" spans="2:34" x14ac:dyDescent="0.2">
      <c r="B21" s="152" t="s">
        <v>514</v>
      </c>
      <c r="C21" s="153" t="s">
        <v>688</v>
      </c>
      <c r="D21" s="154">
        <v>6.9107823482093458E-3</v>
      </c>
      <c r="E21" s="154">
        <v>4.8537618661457602E-2</v>
      </c>
      <c r="F21" s="154">
        <v>4.1164300377848191E-2</v>
      </c>
      <c r="G21" s="154">
        <v>5.0753291632702362E-2</v>
      </c>
      <c r="H21" s="154">
        <v>5.96092529302183E-2</v>
      </c>
      <c r="I21" s="154">
        <v>7.0301883272745738E-2</v>
      </c>
      <c r="J21" s="154">
        <v>8.5548292116655766E-2</v>
      </c>
      <c r="K21" s="154">
        <v>7.1096365644204004E-2</v>
      </c>
      <c r="L21" s="155">
        <v>-0.38417881503754958</v>
      </c>
      <c r="M21" s="155">
        <v>-0.21897867437935117</v>
      </c>
      <c r="V21" s="872">
        <v>-0.45433936481184301</v>
      </c>
      <c r="W21" s="872">
        <v>-0.38836031915001118</v>
      </c>
      <c r="X21" s="872">
        <v>-0.33054742347714527</v>
      </c>
      <c r="Y21" s="872">
        <v>-0.332872152541063</v>
      </c>
      <c r="Z21" s="872">
        <v>-0.33483480523214004</v>
      </c>
      <c r="AA21" s="872">
        <v>-0.33332328688635682</v>
      </c>
      <c r="AB21" s="867">
        <f t="shared" si="11"/>
        <v>-0.36237955868309318</v>
      </c>
      <c r="AC21" s="867">
        <f t="shared" si="12"/>
        <v>4.5859492074663527E-2</v>
      </c>
      <c r="AD21" s="871">
        <f t="shared" si="13"/>
        <v>-7.9019531680182045</v>
      </c>
    </row>
    <row r="22" spans="2:34" x14ac:dyDescent="0.2">
      <c r="B22" s="152"/>
      <c r="C22" s="153"/>
      <c r="D22" s="154"/>
      <c r="E22" s="154"/>
      <c r="F22" s="154"/>
      <c r="G22" s="154"/>
      <c r="H22" s="154"/>
      <c r="I22" s="154"/>
      <c r="J22" s="154"/>
      <c r="K22" s="154"/>
      <c r="L22" s="155"/>
      <c r="M22" s="155"/>
      <c r="V22" s="872">
        <v>-3.0015244697555576E-2</v>
      </c>
      <c r="W22" s="872">
        <v>-2.8559893088924752E-2</v>
      </c>
      <c r="X22" s="872">
        <v>-3.185429672689568E-2</v>
      </c>
      <c r="Y22" s="872">
        <v>-3.2273011257823211E-2</v>
      </c>
      <c r="Z22" s="872">
        <v>-3.2660317374377794E-2</v>
      </c>
      <c r="AA22" s="872">
        <v>-3.2710203123440827E-2</v>
      </c>
      <c r="AB22" s="867">
        <f t="shared" si="11"/>
        <v>-3.1345494378169643E-2</v>
      </c>
      <c r="AC22" s="867">
        <f t="shared" si="12"/>
        <v>1.5405353841173462E-3</v>
      </c>
      <c r="AD22" s="871">
        <f t="shared" si="13"/>
        <v>-20.347143403089781</v>
      </c>
    </row>
    <row r="23" spans="2:34" x14ac:dyDescent="0.2">
      <c r="B23" s="148" t="s">
        <v>517</v>
      </c>
      <c r="C23" s="149" t="s">
        <v>687</v>
      </c>
      <c r="D23" s="150">
        <v>1178399</v>
      </c>
      <c r="E23" s="150">
        <v>1685638</v>
      </c>
      <c r="F23" s="150">
        <v>1504630</v>
      </c>
      <c r="G23" s="150">
        <v>1448326</v>
      </c>
      <c r="H23" s="150">
        <v>1528229.572816676</v>
      </c>
      <c r="I23" s="150">
        <v>1716159</v>
      </c>
      <c r="J23" s="150">
        <v>2259611</v>
      </c>
      <c r="K23" s="150">
        <v>2211577</v>
      </c>
      <c r="L23" s="151">
        <v>-275901</v>
      </c>
      <c r="M23" s="151">
        <v>46118.320094863884</v>
      </c>
      <c r="V23" s="872">
        <v>-0.12124020898564442</v>
      </c>
      <c r="W23" s="872">
        <v>-0.10004794971755743</v>
      </c>
      <c r="X23" s="872">
        <v>-9.6924665782245595E-2</v>
      </c>
      <c r="Y23" s="872">
        <v>-9.4390873784193127E-2</v>
      </c>
      <c r="Z23" s="872">
        <v>-9.3576664850527541E-2</v>
      </c>
      <c r="AA23" s="872">
        <v>-9.1148471151458937E-2</v>
      </c>
      <c r="AB23" s="867">
        <f t="shared" si="11"/>
        <v>-9.9554805711937852E-2</v>
      </c>
      <c r="AC23" s="867">
        <f t="shared" si="12"/>
        <v>1.0087024371763176E-2</v>
      </c>
      <c r="AD23" s="871">
        <f t="shared" si="13"/>
        <v>-9.869591074908449</v>
      </c>
    </row>
    <row r="24" spans="2:34" x14ac:dyDescent="0.2">
      <c r="B24" s="152" t="s">
        <v>518</v>
      </c>
      <c r="C24" s="153" t="s">
        <v>688</v>
      </c>
      <c r="D24" s="154">
        <v>8.9123491199425933E-2</v>
      </c>
      <c r="E24" s="154">
        <v>0.12706354888572394</v>
      </c>
      <c r="F24" s="154">
        <v>0.12064889626021538</v>
      </c>
      <c r="G24" s="154">
        <v>0.14303287455265379</v>
      </c>
      <c r="H24" s="154">
        <v>0.16040889318329521</v>
      </c>
      <c r="I24" s="154">
        <v>0.16885020124370856</v>
      </c>
      <c r="J24" s="154">
        <v>0.2179363774706039</v>
      </c>
      <c r="K24" s="154">
        <v>0.21202113675994472</v>
      </c>
      <c r="L24" s="155">
        <v>-6.3649842698485171E-2</v>
      </c>
      <c r="M24" s="155">
        <v>9.022734363529827E-3</v>
      </c>
      <c r="V24" s="872">
        <v>-0.10797148995169875</v>
      </c>
      <c r="W24" s="872">
        <v>-0.1027362675448573</v>
      </c>
      <c r="X24" s="872">
        <v>-0.11458696784326221</v>
      </c>
      <c r="Y24" s="872">
        <v>-0.11609317684552811</v>
      </c>
      <c r="Z24" s="872">
        <v>-0.11748640281763588</v>
      </c>
      <c r="AA24" s="872">
        <v>-0.11766585291734241</v>
      </c>
      <c r="AB24" s="867">
        <f t="shared" si="11"/>
        <v>-0.11275669298672079</v>
      </c>
      <c r="AC24" s="867">
        <f t="shared" si="12"/>
        <v>5.5416473336300518E-3</v>
      </c>
      <c r="AD24" s="871">
        <f t="shared" si="13"/>
        <v>-20.347143403089785</v>
      </c>
    </row>
    <row r="25" spans="2:34" x14ac:dyDescent="0.2">
      <c r="B25" s="152"/>
      <c r="C25" s="153"/>
      <c r="D25" s="154"/>
      <c r="E25" s="154"/>
      <c r="F25" s="154"/>
      <c r="G25" s="154"/>
      <c r="H25" s="154"/>
      <c r="I25" s="154"/>
      <c r="J25" s="154"/>
      <c r="K25" s="154"/>
      <c r="L25" s="155"/>
      <c r="M25" s="155"/>
      <c r="V25" s="872">
        <v>-2.2115444942644474E-2</v>
      </c>
      <c r="W25" s="872">
        <v>-2.2095288144985015E-2</v>
      </c>
      <c r="X25" s="872">
        <v>-2.4643995082374852E-2</v>
      </c>
      <c r="Y25" s="872">
        <v>-2.496793250687886E-2</v>
      </c>
      <c r="Z25" s="872">
        <v>-2.5267570892041694E-2</v>
      </c>
      <c r="AA25" s="872">
        <v>-2.5306164874044506E-2</v>
      </c>
      <c r="AB25" s="867">
        <f t="shared" si="11"/>
        <v>-2.4066066073828232E-2</v>
      </c>
      <c r="AC25" s="867">
        <f t="shared" si="12"/>
        <v>1.4034310520237721E-3</v>
      </c>
      <c r="AD25" s="871">
        <f t="shared" si="13"/>
        <v>-17.148021656728019</v>
      </c>
    </row>
    <row r="26" spans="2:34" x14ac:dyDescent="0.2">
      <c r="B26" s="148" t="s">
        <v>515</v>
      </c>
      <c r="C26" s="149" t="s">
        <v>687</v>
      </c>
      <c r="D26" s="150">
        <v>1600435</v>
      </c>
      <c r="E26" s="150">
        <v>2126715</v>
      </c>
      <c r="F26" s="150">
        <v>2026014</v>
      </c>
      <c r="G26" s="150">
        <v>1973460</v>
      </c>
      <c r="H26" s="150">
        <v>2097208.572816676</v>
      </c>
      <c r="I26" s="150">
        <v>2295711</v>
      </c>
      <c r="J26" s="150"/>
      <c r="K26" s="150"/>
      <c r="L26" s="151"/>
      <c r="M26" s="151"/>
      <c r="V26" s="872">
        <v>-2.0494629159493963E-2</v>
      </c>
      <c r="W26" s="872">
        <v>-9.357543462055036E-3</v>
      </c>
      <c r="X26" s="872">
        <v>-1.2475349838050578E-3</v>
      </c>
      <c r="Y26" s="872">
        <v>0</v>
      </c>
      <c r="Z26" s="872">
        <v>0</v>
      </c>
      <c r="AA26" s="872">
        <v>0</v>
      </c>
      <c r="AB26" s="867">
        <f t="shared" si="11"/>
        <v>-5.1832846008923426E-3</v>
      </c>
      <c r="AC26" s="867">
        <f t="shared" si="12"/>
        <v>7.6152385828477769E-3</v>
      </c>
      <c r="AD26" s="871">
        <f t="shared" si="13"/>
        <v>-0.68064638349833728</v>
      </c>
    </row>
    <row r="27" spans="2:34" x14ac:dyDescent="0.2">
      <c r="B27" s="152" t="s">
        <v>689</v>
      </c>
      <c r="C27" s="153" t="s">
        <v>688</v>
      </c>
      <c r="D27" s="154">
        <v>0.121042494637006</v>
      </c>
      <c r="E27" s="154">
        <v>0.16031197408251496</v>
      </c>
      <c r="F27" s="154">
        <v>0.16245612071256321</v>
      </c>
      <c r="G27" s="154">
        <v>0.194893730151002</v>
      </c>
      <c r="H27" s="154">
        <v>0.22013113207854176</v>
      </c>
      <c r="I27" s="154">
        <v>0.22587141654555051</v>
      </c>
      <c r="J27" s="154"/>
      <c r="K27" s="154"/>
      <c r="L27" s="155"/>
      <c r="M27" s="155"/>
      <c r="V27" s="872">
        <v>-3.7625960306275762E-2</v>
      </c>
      <c r="W27" s="872">
        <v>-3.8037716969802134E-2</v>
      </c>
      <c r="X27" s="872">
        <v>-4.7935925514911965E-2</v>
      </c>
      <c r="Y27" s="872">
        <v>-3.2909233638012271E-2</v>
      </c>
      <c r="Z27" s="872">
        <v>-4.0800361680374583E-2</v>
      </c>
      <c r="AA27" s="872">
        <v>-5.3155402189427728E-2</v>
      </c>
      <c r="AB27" s="867">
        <f t="shared" si="11"/>
        <v>-4.1744100049800732E-2</v>
      </c>
      <c r="AC27" s="867">
        <f t="shared" si="12"/>
        <v>6.8092874837635585E-3</v>
      </c>
      <c r="AD27" s="871">
        <f t="shared" si="13"/>
        <v>-6.1304652137742268</v>
      </c>
    </row>
    <row r="28" spans="2:34" x14ac:dyDescent="0.2">
      <c r="B28" s="106"/>
      <c r="C28" s="105"/>
      <c r="D28" s="134"/>
      <c r="E28" s="134"/>
      <c r="F28" s="134"/>
      <c r="G28" s="134"/>
      <c r="H28" s="134"/>
      <c r="I28" s="134"/>
      <c r="J28" s="134"/>
      <c r="K28" s="134"/>
      <c r="L28" s="135"/>
      <c r="M28" s="135"/>
      <c r="V28" s="872">
        <v>-6.2310496733131007E-2</v>
      </c>
      <c r="W28" s="872">
        <v>-5.9200667079182798E-2</v>
      </c>
      <c r="X28" s="872">
        <v>-3.9471669553850924E-2</v>
      </c>
      <c r="Y28" s="872">
        <v>-5.4499358379145039E-2</v>
      </c>
      <c r="Z28" s="872">
        <v>-6.3500357565299689E-2</v>
      </c>
      <c r="AA28" s="872">
        <v>-4.3769520410541468E-2</v>
      </c>
      <c r="AB28" s="867">
        <f t="shared" si="11"/>
        <v>-5.3792011620191815E-2</v>
      </c>
      <c r="AC28" s="867">
        <f t="shared" si="12"/>
        <v>9.1477956348808304E-3</v>
      </c>
      <c r="AD28" s="871">
        <f t="shared" si="13"/>
        <v>-5.8803250277128178</v>
      </c>
    </row>
    <row r="29" spans="2:34" x14ac:dyDescent="0.2">
      <c r="B29" s="142" t="s">
        <v>521</v>
      </c>
      <c r="C29" s="143"/>
      <c r="D29" s="144"/>
      <c r="E29" s="144"/>
      <c r="F29" s="144"/>
      <c r="G29" s="144"/>
      <c r="H29" s="144"/>
      <c r="I29" s="144"/>
      <c r="J29" s="144"/>
      <c r="K29" s="144"/>
      <c r="L29" s="145"/>
      <c r="M29" s="145"/>
      <c r="V29" s="872">
        <v>-5.7271356900176158E-2</v>
      </c>
      <c r="W29" s="872">
        <v>-4.8205785201221776E-2</v>
      </c>
      <c r="X29" s="872">
        <v>-4.7634921307645524E-2</v>
      </c>
      <c r="Y29" s="872">
        <v>-4.7317448502437159E-2</v>
      </c>
      <c r="Z29" s="872">
        <v>-4.7847477403613899E-2</v>
      </c>
      <c r="AA29" s="872">
        <v>-4.7538015050812892E-2</v>
      </c>
      <c r="AB29" s="867">
        <f t="shared" si="11"/>
        <v>-4.9302500727651237E-2</v>
      </c>
      <c r="AC29" s="867">
        <f t="shared" si="12"/>
        <v>3.5743812909932227E-3</v>
      </c>
      <c r="AD29" s="871">
        <f t="shared" si="13"/>
        <v>-13.7932964375917</v>
      </c>
    </row>
    <row r="30" spans="2:34" x14ac:dyDescent="0.2">
      <c r="B30" s="133" t="s">
        <v>690</v>
      </c>
      <c r="C30" s="105" t="s">
        <v>687</v>
      </c>
      <c r="D30" s="134">
        <v>117172</v>
      </c>
      <c r="E30" s="134">
        <v>72828</v>
      </c>
      <c r="F30" s="134">
        <v>90500</v>
      </c>
      <c r="G30" s="134">
        <v>75080</v>
      </c>
      <c r="H30" s="134">
        <v>74949.177566102822</v>
      </c>
      <c r="I30" s="134">
        <v>78695</v>
      </c>
      <c r="J30" s="134">
        <v>53253</v>
      </c>
      <c r="K30" s="134">
        <v>26283</v>
      </c>
      <c r="L30" s="135">
        <v>50397</v>
      </c>
      <c r="M30" s="135">
        <v>21107.193662535952</v>
      </c>
    </row>
    <row r="31" spans="2:34" x14ac:dyDescent="0.2">
      <c r="B31" s="133" t="s">
        <v>691</v>
      </c>
      <c r="C31" s="105" t="s">
        <v>687</v>
      </c>
      <c r="D31" s="134">
        <v>-444201</v>
      </c>
      <c r="E31" s="134">
        <v>-462524</v>
      </c>
      <c r="F31" s="134">
        <v>-430034</v>
      </c>
      <c r="G31" s="134">
        <v>-413357</v>
      </c>
      <c r="H31" s="134">
        <v>-416336</v>
      </c>
      <c r="I31" s="134">
        <v>-393286</v>
      </c>
      <c r="J31" s="134">
        <v>-539137</v>
      </c>
      <c r="K31" s="134">
        <v>-589934</v>
      </c>
      <c r="L31" s="135">
        <v>-586979</v>
      </c>
      <c r="M31" s="135">
        <v>-805544.02889755904</v>
      </c>
    </row>
    <row r="32" spans="2:34" x14ac:dyDescent="0.2">
      <c r="B32" s="133" t="s">
        <v>692</v>
      </c>
      <c r="C32" s="105" t="s">
        <v>687</v>
      </c>
      <c r="D32" s="134">
        <v>-328890</v>
      </c>
      <c r="E32" s="134">
        <v>-538097</v>
      </c>
      <c r="F32" s="134">
        <v>-108599</v>
      </c>
      <c r="G32" s="134">
        <v>-532757</v>
      </c>
      <c r="H32" s="134">
        <v>47357.987212188309</v>
      </c>
      <c r="I32" s="134">
        <v>-25725</v>
      </c>
      <c r="J32" s="134">
        <v>14565.272258400335</v>
      </c>
      <c r="K32" s="134">
        <v>-36035</v>
      </c>
      <c r="L32" s="135">
        <v>-2903853</v>
      </c>
      <c r="M32" s="135">
        <v>-2180492.5805755584</v>
      </c>
    </row>
    <row r="33" spans="2:13" x14ac:dyDescent="0.2">
      <c r="B33" s="137" t="s">
        <v>693</v>
      </c>
      <c r="C33" s="138" t="s">
        <v>687</v>
      </c>
      <c r="D33" s="139">
        <v>-655919</v>
      </c>
      <c r="E33" s="139">
        <v>-927793</v>
      </c>
      <c r="F33" s="139">
        <v>-448133</v>
      </c>
      <c r="G33" s="139">
        <v>-871034</v>
      </c>
      <c r="H33" s="139">
        <v>-294028.83522170887</v>
      </c>
      <c r="I33" s="139">
        <v>-340316</v>
      </c>
      <c r="J33" s="139">
        <v>-471318.72774159967</v>
      </c>
      <c r="K33" s="139">
        <v>-599686</v>
      </c>
      <c r="L33" s="140">
        <v>-3440435</v>
      </c>
      <c r="M33" s="140">
        <v>-2964929.4158105813</v>
      </c>
    </row>
    <row r="34" spans="2:13" x14ac:dyDescent="0.2">
      <c r="B34" s="106" t="s">
        <v>669</v>
      </c>
      <c r="C34" s="105"/>
      <c r="D34" s="134"/>
      <c r="E34" s="134"/>
      <c r="F34" s="134"/>
      <c r="G34" s="134"/>
      <c r="H34" s="134"/>
      <c r="I34" s="134"/>
      <c r="J34" s="134"/>
      <c r="K34" s="134"/>
      <c r="L34" s="135"/>
      <c r="M34" s="135"/>
    </row>
    <row r="35" spans="2:13" x14ac:dyDescent="0.2">
      <c r="B35" s="148" t="s">
        <v>525</v>
      </c>
      <c r="C35" s="149" t="s">
        <v>687</v>
      </c>
      <c r="D35" s="150">
        <v>-564544</v>
      </c>
      <c r="E35" s="150">
        <v>-283888</v>
      </c>
      <c r="F35" s="150">
        <v>65233</v>
      </c>
      <c r="G35" s="150">
        <v>-357115</v>
      </c>
      <c r="H35" s="150">
        <v>273873.73759496713</v>
      </c>
      <c r="I35" s="150">
        <v>374218</v>
      </c>
      <c r="J35" s="150">
        <v>415664.27225840033</v>
      </c>
      <c r="K35" s="150">
        <v>141915</v>
      </c>
      <c r="L35" s="151">
        <v>-5105723</v>
      </c>
      <c r="M35" s="151">
        <v>-4084205.2574884738</v>
      </c>
    </row>
    <row r="36" spans="2:13" x14ac:dyDescent="0.2">
      <c r="B36" s="128"/>
      <c r="C36" s="105"/>
      <c r="D36" s="157"/>
      <c r="E36" s="157"/>
      <c r="F36" s="157"/>
      <c r="G36" s="157"/>
      <c r="H36" s="157"/>
      <c r="I36" s="157"/>
      <c r="J36" s="157"/>
      <c r="K36" s="157"/>
      <c r="L36" s="158"/>
      <c r="M36" s="158"/>
    </row>
    <row r="37" spans="2:13" x14ac:dyDescent="0.2">
      <c r="B37" s="133" t="s">
        <v>526</v>
      </c>
      <c r="C37" s="105" t="s">
        <v>687</v>
      </c>
      <c r="D37" s="134">
        <v>69676</v>
      </c>
      <c r="E37" s="134">
        <v>20069</v>
      </c>
      <c r="F37" s="134">
        <v>-142194</v>
      </c>
      <c r="G37" s="134">
        <v>178383</v>
      </c>
      <c r="H37" s="134">
        <v>-163204</v>
      </c>
      <c r="I37" s="134">
        <v>-173504</v>
      </c>
      <c r="J37" s="134">
        <v>-73880</v>
      </c>
      <c r="K37" s="134">
        <v>53698</v>
      </c>
      <c r="L37" s="135">
        <v>550188</v>
      </c>
      <c r="M37" s="135">
        <v>-568934.6120551388</v>
      </c>
    </row>
    <row r="38" spans="2:13" x14ac:dyDescent="0.2">
      <c r="B38" s="133"/>
      <c r="C38" s="105"/>
      <c r="D38" s="134"/>
      <c r="E38" s="134"/>
      <c r="F38" s="134"/>
      <c r="G38" s="134"/>
      <c r="H38" s="134"/>
      <c r="I38" s="134"/>
      <c r="J38" s="134"/>
      <c r="K38" s="134"/>
      <c r="L38" s="135"/>
      <c r="M38" s="135"/>
    </row>
    <row r="39" spans="2:13" x14ac:dyDescent="0.2">
      <c r="B39" s="148" t="s">
        <v>527</v>
      </c>
      <c r="C39" s="149" t="s">
        <v>687</v>
      </c>
      <c r="D39" s="150">
        <v>-494868</v>
      </c>
      <c r="E39" s="150">
        <v>-263819</v>
      </c>
      <c r="F39" s="150">
        <v>-76961</v>
      </c>
      <c r="G39" s="150">
        <v>-178732</v>
      </c>
      <c r="H39" s="150">
        <v>110669.73759496713</v>
      </c>
      <c r="I39" s="150">
        <v>200714</v>
      </c>
      <c r="J39" s="150">
        <v>341784.27225840033</v>
      </c>
      <c r="K39" s="150">
        <v>195613</v>
      </c>
      <c r="L39" s="151">
        <v>-4555535</v>
      </c>
      <c r="M39" s="151">
        <v>-4653139.869543612</v>
      </c>
    </row>
    <row r="40" spans="2:13" x14ac:dyDescent="0.2">
      <c r="B40" s="128" t="s">
        <v>528</v>
      </c>
      <c r="C40" s="105"/>
      <c r="D40" s="157"/>
      <c r="E40" s="157"/>
      <c r="F40" s="157"/>
      <c r="G40" s="157"/>
      <c r="H40" s="157"/>
      <c r="I40" s="157"/>
      <c r="J40" s="157"/>
      <c r="K40" s="157"/>
      <c r="L40" s="158"/>
      <c r="M40" s="158"/>
    </row>
    <row r="41" spans="2:13" x14ac:dyDescent="0.2">
      <c r="B41" s="133" t="s">
        <v>529</v>
      </c>
      <c r="C41" s="105" t="s">
        <v>687</v>
      </c>
      <c r="D41" s="134">
        <v>-523131</v>
      </c>
      <c r="E41" s="134">
        <v>-281114</v>
      </c>
      <c r="F41" s="134">
        <v>-109790</v>
      </c>
      <c r="G41" s="134">
        <v>-219274</v>
      </c>
      <c r="H41" s="134">
        <v>69220</v>
      </c>
      <c r="I41" s="134">
        <v>155304</v>
      </c>
      <c r="J41" s="134">
        <v>309809.27225840033</v>
      </c>
      <c r="K41" s="134">
        <v>190431</v>
      </c>
      <c r="L41" s="135">
        <v>-4545886</v>
      </c>
      <c r="M41" s="135">
        <v>-4647487.7317927238</v>
      </c>
    </row>
    <row r="42" spans="2:13" x14ac:dyDescent="0.2">
      <c r="B42" s="133" t="s">
        <v>530</v>
      </c>
      <c r="C42" s="105" t="s">
        <v>687</v>
      </c>
      <c r="D42" s="134">
        <v>28263</v>
      </c>
      <c r="E42" s="134">
        <v>17295</v>
      </c>
      <c r="F42" s="134">
        <v>32829</v>
      </c>
      <c r="G42" s="134">
        <v>40542</v>
      </c>
      <c r="H42" s="134">
        <v>41450</v>
      </c>
      <c r="I42" s="134">
        <v>45410</v>
      </c>
      <c r="J42" s="134">
        <v>31975</v>
      </c>
      <c r="K42" s="134">
        <v>5182</v>
      </c>
      <c r="L42" s="135">
        <v>-9649</v>
      </c>
      <c r="M42" s="135">
        <v>-43.716792396533947</v>
      </c>
    </row>
    <row r="43" spans="2:13" x14ac:dyDescent="0.2">
      <c r="B43" s="106" t="s">
        <v>669</v>
      </c>
      <c r="C43" s="105"/>
      <c r="D43" s="134"/>
      <c r="E43" s="134"/>
      <c r="F43" s="134"/>
      <c r="G43" s="134"/>
      <c r="H43" s="134"/>
      <c r="I43" s="134"/>
      <c r="J43" s="134"/>
      <c r="K43" s="134"/>
      <c r="L43" s="135"/>
      <c r="M43" s="135"/>
    </row>
    <row r="44" spans="2:13" x14ac:dyDescent="0.2">
      <c r="B44" s="106" t="s">
        <v>669</v>
      </c>
      <c r="C44" s="105"/>
      <c r="D44" s="134"/>
      <c r="E44" s="134"/>
      <c r="F44" s="134"/>
      <c r="G44" s="134"/>
      <c r="H44" s="134"/>
      <c r="I44" s="134"/>
      <c r="J44" s="134"/>
      <c r="K44" s="134"/>
      <c r="L44" s="135"/>
      <c r="M44" s="135"/>
    </row>
    <row r="45" spans="2:13" x14ac:dyDescent="0.2">
      <c r="B45" s="148" t="s">
        <v>531</v>
      </c>
      <c r="C45" s="149" t="s">
        <v>687</v>
      </c>
      <c r="D45" s="150">
        <v>-523131</v>
      </c>
      <c r="E45" s="150">
        <v>-281114</v>
      </c>
      <c r="F45" s="150">
        <v>-109790</v>
      </c>
      <c r="G45" s="150">
        <v>-219274</v>
      </c>
      <c r="H45" s="150">
        <v>69220</v>
      </c>
      <c r="I45" s="150">
        <v>155304</v>
      </c>
      <c r="J45" s="150">
        <v>309809.27225840033</v>
      </c>
      <c r="K45" s="150">
        <v>190431</v>
      </c>
      <c r="L45" s="151">
        <v>-4545886</v>
      </c>
      <c r="M45" s="151">
        <v>-4647487.7317927238</v>
      </c>
    </row>
    <row r="46" spans="2:13" x14ac:dyDescent="0.2">
      <c r="B46" s="152" t="s">
        <v>532</v>
      </c>
      <c r="C46" s="153" t="s">
        <v>688</v>
      </c>
      <c r="D46" s="160">
        <v>-3.9428753072603559E-2</v>
      </c>
      <c r="E46" s="160">
        <v>-2.1190399410467371E-2</v>
      </c>
      <c r="F46" s="160">
        <v>-8.8035213443896816E-3</v>
      </c>
      <c r="G46" s="160">
        <v>-2.1654924743917187E-2</v>
      </c>
      <c r="H46" s="160">
        <v>7.265599216014944E-3</v>
      </c>
      <c r="I46" s="160">
        <v>1.5280117782765416E-2</v>
      </c>
      <c r="J46" s="160">
        <v>2.9880678799492404E-2</v>
      </c>
      <c r="K46" s="160">
        <v>1.8256383157508438E-2</v>
      </c>
      <c r="L46" s="161">
        <v>-1.0487273653420826</v>
      </c>
      <c r="M46" s="161">
        <v>-0.90924923491303644</v>
      </c>
    </row>
    <row r="49" spans="1:13" x14ac:dyDescent="0.2">
      <c r="B49" s="162" t="s">
        <v>694</v>
      </c>
    </row>
    <row r="50" spans="1:13" x14ac:dyDescent="0.2">
      <c r="B50" s="104" t="s">
        <v>695</v>
      </c>
    </row>
    <row r="51" spans="1:13" x14ac:dyDescent="0.2">
      <c r="B51" s="104" t="s">
        <v>696</v>
      </c>
    </row>
    <row r="54" spans="1:13" x14ac:dyDescent="0.2">
      <c r="A54" s="103" t="s">
        <v>697</v>
      </c>
      <c r="C54" s="105"/>
      <c r="E54" s="106"/>
      <c r="F54" s="106"/>
      <c r="G54" s="106"/>
      <c r="H54" s="106"/>
      <c r="I54" s="106"/>
      <c r="J54" s="106"/>
      <c r="K54" s="106"/>
      <c r="L54" s="107"/>
      <c r="M54" s="107"/>
    </row>
    <row r="55" spans="1:13" x14ac:dyDescent="0.2">
      <c r="A55" s="1230" t="s">
        <v>343</v>
      </c>
      <c r="B55" s="1231"/>
      <c r="C55" s="108" t="s">
        <v>675</v>
      </c>
      <c r="D55" s="109" t="s">
        <v>671</v>
      </c>
      <c r="E55" s="111">
        <v>2013</v>
      </c>
      <c r="F55" s="111">
        <v>2014</v>
      </c>
      <c r="G55" s="111">
        <v>2015</v>
      </c>
      <c r="H55" s="111">
        <v>2016</v>
      </c>
      <c r="I55" s="111">
        <v>2017</v>
      </c>
      <c r="J55" s="111">
        <v>2018</v>
      </c>
      <c r="K55" s="111">
        <v>2019</v>
      </c>
      <c r="L55" s="113">
        <v>2020</v>
      </c>
      <c r="M55" s="113">
        <v>2021</v>
      </c>
    </row>
    <row r="56" spans="1:13" x14ac:dyDescent="0.2">
      <c r="A56" s="114" t="s">
        <v>698</v>
      </c>
      <c r="B56" s="115"/>
      <c r="C56" s="116"/>
      <c r="D56" s="117" t="s">
        <v>671</v>
      </c>
      <c r="E56" s="119"/>
      <c r="F56" s="119"/>
      <c r="G56" s="119"/>
      <c r="H56" s="119"/>
      <c r="I56" s="119"/>
      <c r="J56" s="119"/>
      <c r="K56" s="119"/>
      <c r="L56" s="121"/>
      <c r="M56" s="121"/>
    </row>
    <row r="57" spans="1:13" x14ac:dyDescent="0.2">
      <c r="A57" s="120"/>
      <c r="B57" s="163" t="s">
        <v>699</v>
      </c>
      <c r="C57" s="164" t="s">
        <v>700</v>
      </c>
      <c r="D57" s="165">
        <v>132185.95754099998</v>
      </c>
      <c r="E57" s="165">
        <v>131690.85769100001</v>
      </c>
      <c r="F57" s="165">
        <v>130200.938692</v>
      </c>
      <c r="G57" s="165">
        <v>134301.609042</v>
      </c>
      <c r="H57" s="165">
        <v>134967.69102800003</v>
      </c>
      <c r="I57" s="165">
        <v>136398.413684</v>
      </c>
      <c r="J57" s="166">
        <v>143264.72235699999</v>
      </c>
      <c r="K57" s="165">
        <v>149112.386383</v>
      </c>
      <c r="L57" s="168">
        <v>55718.203177999996</v>
      </c>
      <c r="M57" s="168">
        <v>67635.692876000001</v>
      </c>
    </row>
    <row r="58" spans="1:13" x14ac:dyDescent="0.2">
      <c r="A58" s="120"/>
      <c r="B58" s="163" t="s">
        <v>701</v>
      </c>
      <c r="C58" s="164" t="s">
        <v>700</v>
      </c>
      <c r="D58" s="165">
        <v>103886.10509999697</v>
      </c>
      <c r="E58" s="165">
        <v>106466.4608</v>
      </c>
      <c r="F58" s="165">
        <v>108534.04674100001</v>
      </c>
      <c r="G58" s="165">
        <v>111509.73087999999</v>
      </c>
      <c r="H58" s="165">
        <v>113626.85401</v>
      </c>
      <c r="I58" s="165">
        <v>115692.69857600001</v>
      </c>
      <c r="J58" s="166">
        <v>119077.418256</v>
      </c>
      <c r="K58" s="165">
        <v>124521.33757500001</v>
      </c>
      <c r="L58" s="168">
        <v>42624.379808999998</v>
      </c>
      <c r="M58" s="168">
        <v>50316.537445000002</v>
      </c>
    </row>
    <row r="59" spans="1:13" x14ac:dyDescent="0.2">
      <c r="A59" s="120"/>
      <c r="B59" s="163" t="s">
        <v>702</v>
      </c>
      <c r="C59" s="164" t="s">
        <v>688</v>
      </c>
      <c r="D59" s="170">
        <v>0.78590878359960992</v>
      </c>
      <c r="E59" s="170">
        <v>0.80845749406396428</v>
      </c>
      <c r="F59" s="170">
        <v>0.83358881918467098</v>
      </c>
      <c r="G59" s="170">
        <v>0.83029333509420333</v>
      </c>
      <c r="H59" s="170">
        <v>0.84188188406088449</v>
      </c>
      <c r="I59" s="170">
        <v>0.84819680413608178</v>
      </c>
      <c r="J59" s="170">
        <v>0.83117055124898176</v>
      </c>
      <c r="K59" s="170">
        <v>0.8350837954880751</v>
      </c>
      <c r="L59" s="171">
        <v>0.76499918119811128</v>
      </c>
      <c r="M59" s="171">
        <v>0.7439346786503378</v>
      </c>
    </row>
    <row r="60" spans="1:13" x14ac:dyDescent="0.2">
      <c r="A60" s="120"/>
      <c r="B60" s="163" t="s">
        <v>703</v>
      </c>
      <c r="C60" s="164" t="s">
        <v>704</v>
      </c>
      <c r="D60" s="165">
        <v>64677</v>
      </c>
      <c r="E60" s="165">
        <v>66695.639999999985</v>
      </c>
      <c r="F60" s="165">
        <v>67833.429999999993</v>
      </c>
      <c r="G60" s="165">
        <v>67834.365999999995</v>
      </c>
      <c r="H60" s="165">
        <v>66960.084000000003</v>
      </c>
      <c r="I60" s="165">
        <v>67146.157000000007</v>
      </c>
      <c r="J60" s="165">
        <v>68806.145000000004</v>
      </c>
      <c r="K60" s="165">
        <v>74189.103999999992</v>
      </c>
      <c r="L60" s="168">
        <v>28298.904999999999</v>
      </c>
      <c r="M60" s="168">
        <v>40195.395000000004</v>
      </c>
    </row>
    <row r="61" spans="1:13" x14ac:dyDescent="0.2">
      <c r="A61" s="120"/>
      <c r="B61" s="163" t="s">
        <v>705</v>
      </c>
      <c r="C61" s="164" t="s">
        <v>700</v>
      </c>
      <c r="D61" s="165">
        <v>1295.0999310900002</v>
      </c>
      <c r="E61" s="165">
        <v>1266.7185692538746</v>
      </c>
      <c r="F61" s="165">
        <v>1219.8826682926142</v>
      </c>
      <c r="G61" s="165">
        <v>1221.0273443679421</v>
      </c>
      <c r="H61" s="165">
        <v>1185.5087576021599</v>
      </c>
      <c r="I61" s="165">
        <v>1156.0623263386292</v>
      </c>
      <c r="J61" s="165">
        <v>1205.1887933273099</v>
      </c>
      <c r="K61" s="165">
        <v>1272.6767647633469</v>
      </c>
      <c r="L61" s="168">
        <v>577.78334149909097</v>
      </c>
      <c r="M61" s="168">
        <v>677.11004732501374</v>
      </c>
    </row>
    <row r="62" spans="1:13" x14ac:dyDescent="0.2">
      <c r="A62" s="120"/>
      <c r="B62" s="163" t="s">
        <v>706</v>
      </c>
      <c r="C62" s="164" t="s">
        <v>707</v>
      </c>
      <c r="D62" s="172">
        <v>10.604859994891003</v>
      </c>
      <c r="E62" s="172">
        <v>10.389710446728779</v>
      </c>
      <c r="F62" s="172">
        <v>9.5639316064299909</v>
      </c>
      <c r="G62" s="172">
        <v>7.5424849268749963</v>
      </c>
      <c r="H62" s="172">
        <v>6.9329693835461672</v>
      </c>
      <c r="I62" s="172">
        <v>7.3422757914319634</v>
      </c>
      <c r="J62" s="172">
        <v>7.313719198443553</v>
      </c>
      <c r="K62" s="172">
        <v>7.2321974231013373</v>
      </c>
      <c r="L62" s="173">
        <v>6.3667178552753878</v>
      </c>
      <c r="M62" s="173">
        <v>6.6427078290338128</v>
      </c>
    </row>
    <row r="63" spans="1:13" x14ac:dyDescent="0.2">
      <c r="A63" s="120"/>
      <c r="B63" s="163" t="s">
        <v>708</v>
      </c>
      <c r="C63" s="164" t="s">
        <v>707</v>
      </c>
      <c r="D63" s="172">
        <v>8.3344526188289514</v>
      </c>
      <c r="E63" s="172">
        <v>8.3996392718125392</v>
      </c>
      <c r="F63" s="172">
        <v>7.9723864545669301</v>
      </c>
      <c r="G63" s="172">
        <v>6.2624750834044196</v>
      </c>
      <c r="H63" s="172">
        <v>5.8367411892420344</v>
      </c>
      <c r="I63" s="172">
        <v>6.2276948613783123</v>
      </c>
      <c r="J63" s="172">
        <v>6.0789480178505881</v>
      </c>
      <c r="K63" s="172">
        <v>6.03949103100513</v>
      </c>
      <c r="L63" s="173">
        <v>4.8705339462050663</v>
      </c>
      <c r="M63" s="173">
        <v>4.9417407141603524</v>
      </c>
    </row>
    <row r="64" spans="1:13" x14ac:dyDescent="0.2">
      <c r="A64" s="120"/>
      <c r="B64" s="163"/>
      <c r="C64" s="164"/>
      <c r="H64" s="174"/>
      <c r="I64" s="174"/>
      <c r="J64" s="174"/>
      <c r="K64" s="174"/>
      <c r="L64" s="175"/>
      <c r="M64" s="175"/>
    </row>
    <row r="65" spans="1:13" x14ac:dyDescent="0.2">
      <c r="A65" s="179"/>
      <c r="B65" s="176" t="s">
        <v>709</v>
      </c>
      <c r="C65" s="177"/>
      <c r="D65" s="178"/>
      <c r="E65" s="178"/>
      <c r="F65" s="178"/>
      <c r="G65" s="178"/>
      <c r="H65" s="181"/>
      <c r="I65" s="181"/>
      <c r="J65" s="181"/>
      <c r="K65" s="181"/>
      <c r="L65" s="184"/>
      <c r="M65" s="184"/>
    </row>
    <row r="66" spans="1:13" x14ac:dyDescent="0.2">
      <c r="A66" s="179"/>
      <c r="B66" s="185" t="s">
        <v>699</v>
      </c>
      <c r="C66" s="177" t="s">
        <v>700</v>
      </c>
      <c r="D66" s="186">
        <v>65627.786856999999</v>
      </c>
      <c r="E66" s="186">
        <v>67162.330749999994</v>
      </c>
      <c r="F66" s="186">
        <v>65530.094830000002</v>
      </c>
      <c r="G66" s="182">
        <v>69750.477757000001</v>
      </c>
      <c r="H66" s="182">
        <v>73541.900299000001</v>
      </c>
      <c r="I66" s="182">
        <v>76366.096386999998</v>
      </c>
      <c r="J66" s="187">
        <v>81059.701547000004</v>
      </c>
      <c r="K66" s="187">
        <v>81332.566902000006</v>
      </c>
      <c r="L66" s="188">
        <v>23883.321796999997</v>
      </c>
      <c r="M66" s="188">
        <v>20461.046037</v>
      </c>
    </row>
    <row r="67" spans="1:13" x14ac:dyDescent="0.2">
      <c r="A67" s="179"/>
      <c r="B67" s="185" t="s">
        <v>701</v>
      </c>
      <c r="C67" s="177" t="s">
        <v>700</v>
      </c>
      <c r="D67" s="186">
        <v>53957.366119996979</v>
      </c>
      <c r="E67" s="186">
        <v>55274.262455000004</v>
      </c>
      <c r="F67" s="186">
        <v>55951.078986</v>
      </c>
      <c r="G67" s="182">
        <v>59003.368833</v>
      </c>
      <c r="H67" s="182">
        <v>63392.562823</v>
      </c>
      <c r="I67" s="182">
        <v>66344.243965000001</v>
      </c>
      <c r="J67" s="187">
        <v>68365.164197000006</v>
      </c>
      <c r="K67" s="187">
        <v>69065.446849</v>
      </c>
      <c r="L67" s="188">
        <v>17619.91502</v>
      </c>
      <c r="M67" s="188">
        <v>13500.491831000001</v>
      </c>
    </row>
    <row r="68" spans="1:13" x14ac:dyDescent="0.2">
      <c r="A68" s="179"/>
      <c r="B68" s="185" t="s">
        <v>702</v>
      </c>
      <c r="C68" s="177" t="s">
        <v>688</v>
      </c>
      <c r="D68" s="189">
        <v>0.82217256903036606</v>
      </c>
      <c r="E68" s="189">
        <v>0.8229950008844803</v>
      </c>
      <c r="F68" s="189">
        <v>0.85382264639094219</v>
      </c>
      <c r="G68" s="189">
        <v>0.84592064069523198</v>
      </c>
      <c r="H68" s="189">
        <v>0.86199245008987058</v>
      </c>
      <c r="I68" s="189">
        <v>0.86876568403847287</v>
      </c>
      <c r="J68" s="189">
        <v>0.84339274500487205</v>
      </c>
      <c r="K68" s="189">
        <v>0.8491733321563425</v>
      </c>
      <c r="L68" s="190">
        <v>0.7377497640304479</v>
      </c>
      <c r="M68" s="190">
        <v>0.65981435194402427</v>
      </c>
    </row>
    <row r="69" spans="1:13" x14ac:dyDescent="0.2">
      <c r="A69" s="179"/>
      <c r="B69" s="185" t="s">
        <v>708</v>
      </c>
      <c r="C69" s="177" t="s">
        <v>707</v>
      </c>
      <c r="D69" s="192">
        <v>7.8688823534738868</v>
      </c>
      <c r="E69" s="192">
        <v>7.8849697436117179</v>
      </c>
      <c r="F69" s="192">
        <v>7.6365604107208247</v>
      </c>
      <c r="G69" s="192">
        <v>6.4473274005733501</v>
      </c>
      <c r="H69" s="192">
        <v>5.789583744814494</v>
      </c>
      <c r="I69" s="192">
        <v>6.1730384579787332</v>
      </c>
      <c r="J69" s="192">
        <v>6.0987730964642957</v>
      </c>
      <c r="K69" s="192">
        <v>5.7503712253786761</v>
      </c>
      <c r="L69" s="193">
        <v>5.78127093652183</v>
      </c>
      <c r="M69" s="193">
        <v>4.5769052121700673</v>
      </c>
    </row>
    <row r="70" spans="1:13" x14ac:dyDescent="0.2">
      <c r="A70" s="179"/>
      <c r="B70" s="185"/>
      <c r="C70" s="177"/>
      <c r="D70" s="178"/>
      <c r="E70" s="178"/>
      <c r="F70" s="178"/>
      <c r="G70" s="189"/>
      <c r="H70" s="189"/>
      <c r="I70" s="189"/>
      <c r="J70" s="189"/>
      <c r="K70" s="189"/>
      <c r="L70" s="190"/>
      <c r="M70" s="190"/>
    </row>
    <row r="71" spans="1:13" x14ac:dyDescent="0.2">
      <c r="A71" s="179"/>
      <c r="B71" s="176" t="s">
        <v>710</v>
      </c>
      <c r="C71" s="177"/>
      <c r="D71" s="178"/>
      <c r="E71" s="178"/>
      <c r="F71" s="178"/>
      <c r="G71" s="178"/>
      <c r="H71" s="178"/>
      <c r="I71" s="178"/>
      <c r="J71" s="178"/>
      <c r="K71" s="178"/>
      <c r="L71" s="194"/>
      <c r="M71" s="194"/>
    </row>
    <row r="72" spans="1:13" x14ac:dyDescent="0.2">
      <c r="A72" s="179"/>
      <c r="B72" s="185" t="s">
        <v>699</v>
      </c>
      <c r="C72" s="177" t="s">
        <v>700</v>
      </c>
      <c r="D72" s="186">
        <v>48210.584396999999</v>
      </c>
      <c r="E72" s="186">
        <v>44163.507195000006</v>
      </c>
      <c r="F72" s="186">
        <v>43560.536740000003</v>
      </c>
      <c r="G72" s="182">
        <v>42478.496203000002</v>
      </c>
      <c r="H72" s="182">
        <v>37578.731178000002</v>
      </c>
      <c r="I72" s="182">
        <v>36211.335941999991</v>
      </c>
      <c r="J72" s="187">
        <v>37541.222174999988</v>
      </c>
      <c r="K72" s="187">
        <v>40442.345747999978</v>
      </c>
      <c r="L72" s="188">
        <v>20834.460580000003</v>
      </c>
      <c r="M72" s="188">
        <v>29326.829380000003</v>
      </c>
    </row>
    <row r="73" spans="1:13" x14ac:dyDescent="0.2">
      <c r="A73" s="179"/>
      <c r="B73" s="185" t="s">
        <v>701</v>
      </c>
      <c r="C73" s="177" t="s">
        <v>700</v>
      </c>
      <c r="D73" s="186">
        <v>35482.710477000001</v>
      </c>
      <c r="E73" s="186">
        <v>35193.224584999996</v>
      </c>
      <c r="F73" s="186">
        <v>35589.684431000001</v>
      </c>
      <c r="G73" s="182">
        <v>34648.062333000002</v>
      </c>
      <c r="H73" s="182">
        <v>30940.542872999999</v>
      </c>
      <c r="I73" s="182">
        <v>29940.574398999997</v>
      </c>
      <c r="J73" s="187">
        <v>30491.534565000005</v>
      </c>
      <c r="K73" s="187">
        <v>33362.955501000004</v>
      </c>
      <c r="L73" s="188">
        <v>16661.722876</v>
      </c>
      <c r="M73" s="188">
        <v>23456.270689000001</v>
      </c>
    </row>
    <row r="74" spans="1:13" x14ac:dyDescent="0.2">
      <c r="A74" s="179"/>
      <c r="B74" s="185" t="s">
        <v>702</v>
      </c>
      <c r="C74" s="177" t="s">
        <v>688</v>
      </c>
      <c r="D74" s="189">
        <v>0.73599419963073465</v>
      </c>
      <c r="E74" s="189">
        <v>0.79688473176750818</v>
      </c>
      <c r="F74" s="189">
        <v>0.81701666449668264</v>
      </c>
      <c r="G74" s="189">
        <v>0.81566122697519161</v>
      </c>
      <c r="H74" s="189">
        <v>0.82335251625296368</v>
      </c>
      <c r="I74" s="189">
        <v>0.82682877116039222</v>
      </c>
      <c r="J74" s="189">
        <v>0.81221475483303218</v>
      </c>
      <c r="K74" s="189">
        <v>0.82495104781724793</v>
      </c>
      <c r="L74" s="190">
        <v>0.79971942695720122</v>
      </c>
      <c r="M74" s="190">
        <v>0.79982293295559792</v>
      </c>
    </row>
    <row r="75" spans="1:13" x14ac:dyDescent="0.2">
      <c r="A75" s="179"/>
      <c r="B75" s="185" t="s">
        <v>708</v>
      </c>
      <c r="C75" s="177" t="s">
        <v>707</v>
      </c>
      <c r="D75" s="192">
        <v>8.8186206485740719</v>
      </c>
      <c r="E75" s="192">
        <v>9.186926819353241</v>
      </c>
      <c r="F75" s="192">
        <v>8.5973512688907139</v>
      </c>
      <c r="G75" s="192">
        <v>5.8545998394568004</v>
      </c>
      <c r="H75" s="192">
        <v>5.8441369763337159</v>
      </c>
      <c r="I75" s="192">
        <v>6.5679530230040148</v>
      </c>
      <c r="J75" s="192">
        <v>6.2352052449870587</v>
      </c>
      <c r="K75" s="192">
        <v>6.864635283349152</v>
      </c>
      <c r="L75" s="193">
        <v>4.9337136037588252</v>
      </c>
      <c r="M75" s="193">
        <v>4.8304829700269831</v>
      </c>
    </row>
    <row r="76" spans="1:13" x14ac:dyDescent="0.2">
      <c r="A76" s="179"/>
      <c r="B76" s="185"/>
      <c r="C76" s="177"/>
      <c r="D76" s="178"/>
      <c r="E76" s="178"/>
      <c r="F76" s="178"/>
      <c r="G76" s="189"/>
      <c r="H76" s="189"/>
      <c r="I76" s="189"/>
      <c r="J76" s="189"/>
      <c r="K76" s="189"/>
      <c r="L76" s="190"/>
      <c r="M76" s="190"/>
    </row>
    <row r="77" spans="1:13" x14ac:dyDescent="0.2">
      <c r="A77" s="179"/>
      <c r="B77" s="176" t="s">
        <v>7</v>
      </c>
      <c r="C77" s="177"/>
      <c r="D77" s="178"/>
      <c r="E77" s="178"/>
      <c r="F77" s="178"/>
      <c r="G77" s="178"/>
      <c r="H77" s="178"/>
      <c r="I77" s="178"/>
      <c r="J77" s="178"/>
      <c r="K77" s="178"/>
      <c r="L77" s="194"/>
      <c r="M77" s="194"/>
    </row>
    <row r="78" spans="1:13" x14ac:dyDescent="0.2">
      <c r="A78" s="179"/>
      <c r="B78" s="185" t="s">
        <v>699</v>
      </c>
      <c r="C78" s="177" t="s">
        <v>700</v>
      </c>
      <c r="D78" s="186">
        <v>18347.586286999995</v>
      </c>
      <c r="E78" s="186">
        <v>20365.019746000002</v>
      </c>
      <c r="F78" s="186">
        <v>21110.307121999998</v>
      </c>
      <c r="G78" s="186">
        <v>22072.781943000002</v>
      </c>
      <c r="H78" s="186">
        <v>23847.059550999998</v>
      </c>
      <c r="I78" s="186">
        <v>23820.980840000018</v>
      </c>
      <c r="J78" s="196">
        <v>24664.012078000022</v>
      </c>
      <c r="K78" s="196">
        <v>27337.21407400004</v>
      </c>
      <c r="L78" s="197">
        <v>10970.222194000009</v>
      </c>
      <c r="M78" s="197">
        <v>17847.817458999998</v>
      </c>
    </row>
    <row r="79" spans="1:13" x14ac:dyDescent="0.2">
      <c r="A79" s="179"/>
      <c r="B79" s="185" t="s">
        <v>701</v>
      </c>
      <c r="C79" s="177" t="s">
        <v>700</v>
      </c>
      <c r="D79" s="186">
        <v>14446.028503000001</v>
      </c>
      <c r="E79" s="186">
        <v>15998.973760000001</v>
      </c>
      <c r="F79" s="186">
        <v>16993.283324</v>
      </c>
      <c r="G79" s="186">
        <v>17858.423762999999</v>
      </c>
      <c r="H79" s="186">
        <v>19293.748313999997</v>
      </c>
      <c r="I79" s="186">
        <v>19407.880814</v>
      </c>
      <c r="J79" s="196">
        <v>20220.590463999997</v>
      </c>
      <c r="K79" s="196">
        <v>22092.686454999995</v>
      </c>
      <c r="L79" s="197">
        <v>8342.5714619999999</v>
      </c>
      <c r="M79" s="197">
        <v>13359.774925000002</v>
      </c>
    </row>
    <row r="80" spans="1:13" x14ac:dyDescent="0.2">
      <c r="A80" s="179"/>
      <c r="B80" s="185" t="s">
        <v>702</v>
      </c>
      <c r="C80" s="177" t="s">
        <v>688</v>
      </c>
      <c r="D80" s="189">
        <v>0.78735307615016348</v>
      </c>
      <c r="E80" s="189">
        <v>0.78561052036998102</v>
      </c>
      <c r="F80" s="189">
        <v>0.80497565600504872</v>
      </c>
      <c r="G80" s="189">
        <v>0.80906991285090313</v>
      </c>
      <c r="H80" s="189">
        <v>0.80906194211231108</v>
      </c>
      <c r="I80" s="189">
        <v>0.81473894565291904</v>
      </c>
      <c r="J80" s="189">
        <v>0.81984189758147663</v>
      </c>
      <c r="K80" s="189">
        <v>0.80815427626226088</v>
      </c>
      <c r="L80" s="190">
        <v>0.76047424696309607</v>
      </c>
      <c r="M80" s="190">
        <v>0.74853829918924675</v>
      </c>
    </row>
    <row r="81" spans="1:13" x14ac:dyDescent="0.2">
      <c r="A81" s="179"/>
      <c r="B81" s="185" t="s">
        <v>708</v>
      </c>
      <c r="C81" s="177" t="s">
        <v>707</v>
      </c>
      <c r="D81" s="192">
        <v>10.169696983915973</v>
      </c>
      <c r="E81" s="192">
        <v>9.5875407758630722</v>
      </c>
      <c r="F81" s="192">
        <v>9.0906275278887652</v>
      </c>
      <c r="G81" s="192">
        <v>8.2857371247977092</v>
      </c>
      <c r="H81" s="192">
        <v>6.9423372273357176</v>
      </c>
      <c r="I81" s="192">
        <v>7.2527979470983137</v>
      </c>
      <c r="J81" s="192">
        <v>7.0773934629870601</v>
      </c>
      <c r="K81" s="192">
        <v>6.5289220703084627</v>
      </c>
      <c r="L81" s="193">
        <v>6.2540277779698643</v>
      </c>
      <c r="M81" s="193">
        <v>5.8139600518889427</v>
      </c>
    </row>
    <row r="82" spans="1:13" x14ac:dyDescent="0.2">
      <c r="A82" s="120"/>
      <c r="B82" s="163"/>
      <c r="C82" s="164"/>
      <c r="H82" s="120"/>
      <c r="I82" s="120"/>
      <c r="J82" s="120"/>
      <c r="K82" s="120"/>
      <c r="L82" s="206"/>
      <c r="M82" s="206"/>
    </row>
    <row r="83" spans="1:13" x14ac:dyDescent="0.2">
      <c r="A83" s="114" t="s">
        <v>9</v>
      </c>
      <c r="B83" s="115"/>
      <c r="C83" s="116"/>
      <c r="D83" s="117"/>
      <c r="E83" s="117"/>
      <c r="F83" s="117"/>
      <c r="G83" s="117"/>
      <c r="H83" s="117"/>
      <c r="I83" s="117"/>
      <c r="J83" s="117"/>
      <c r="K83" s="117"/>
      <c r="L83" s="207"/>
      <c r="M83" s="207"/>
    </row>
    <row r="84" spans="1:13" x14ac:dyDescent="0.2">
      <c r="A84" s="120"/>
      <c r="B84" s="163" t="s">
        <v>711</v>
      </c>
      <c r="C84" s="164" t="s">
        <v>700</v>
      </c>
      <c r="D84" s="165">
        <v>7645.9450603468731</v>
      </c>
      <c r="E84" s="165">
        <v>7651.8808060034944</v>
      </c>
      <c r="F84" s="165">
        <v>7219.7126569918155</v>
      </c>
      <c r="G84" s="165">
        <v>7082.7589488798449</v>
      </c>
      <c r="H84" s="165">
        <v>6704.132180655999</v>
      </c>
      <c r="I84" s="165">
        <v>6230.3037685139498</v>
      </c>
      <c r="J84" s="165">
        <v>6497.6465641726954</v>
      </c>
      <c r="K84" s="165">
        <v>6356.6696767127796</v>
      </c>
      <c r="L84" s="168">
        <v>4708.2547560331859</v>
      </c>
      <c r="M84" s="168">
        <v>4788.0802441418355</v>
      </c>
    </row>
    <row r="85" spans="1:13" x14ac:dyDescent="0.2">
      <c r="A85" s="120"/>
      <c r="B85" s="163" t="s">
        <v>712</v>
      </c>
      <c r="C85" s="164" t="s">
        <v>700</v>
      </c>
      <c r="D85" s="165">
        <v>4488.3104209496469</v>
      </c>
      <c r="E85" s="165">
        <v>4466.7209414749077</v>
      </c>
      <c r="F85" s="165">
        <v>4317.1810313255055</v>
      </c>
      <c r="G85" s="165">
        <v>3796.999951683888</v>
      </c>
      <c r="H85" s="165">
        <v>3465.9083701879999</v>
      </c>
      <c r="I85" s="165">
        <v>3421.3302198201291</v>
      </c>
      <c r="J85" s="165">
        <v>3582.5214867326272</v>
      </c>
      <c r="K85" s="165">
        <v>3525.9823816163703</v>
      </c>
      <c r="L85" s="168">
        <v>3077.7794941603875</v>
      </c>
      <c r="M85" s="168">
        <v>3034.8617645048348</v>
      </c>
    </row>
    <row r="86" spans="1:13" x14ac:dyDescent="0.2">
      <c r="A86" s="120"/>
      <c r="B86" s="163" t="s">
        <v>713</v>
      </c>
      <c r="C86" s="164" t="s">
        <v>688</v>
      </c>
      <c r="D86" s="170">
        <v>0.58701839805608358</v>
      </c>
      <c r="E86" s="170">
        <v>0.58374157344040412</v>
      </c>
      <c r="F86" s="170">
        <v>0.5979713094460346</v>
      </c>
      <c r="G86" s="170">
        <v>0.5359503451756138</v>
      </c>
      <c r="H86" s="170">
        <v>0.51698091218852738</v>
      </c>
      <c r="I86" s="170">
        <v>0.5491434040681108</v>
      </c>
      <c r="J86" s="170">
        <v>0.55135677992802112</v>
      </c>
      <c r="K86" s="170">
        <v>0.55469020114944201</v>
      </c>
      <c r="L86" s="171">
        <v>0.65369858974102923</v>
      </c>
      <c r="M86" s="171">
        <v>0.63383686357762181</v>
      </c>
    </row>
    <row r="87" spans="1:13" x14ac:dyDescent="0.2">
      <c r="A87" s="120"/>
      <c r="B87" s="163" t="s">
        <v>714</v>
      </c>
      <c r="C87" s="164" t="s">
        <v>704</v>
      </c>
      <c r="D87" s="165">
        <v>1154.0072503398439</v>
      </c>
      <c r="E87" s="165">
        <v>1200.4186912517262</v>
      </c>
      <c r="F87" s="165">
        <v>1102.1871014786079</v>
      </c>
      <c r="G87" s="165">
        <v>1008.70120251</v>
      </c>
      <c r="H87" s="165">
        <v>944.284825633482</v>
      </c>
      <c r="I87" s="165">
        <v>895.94934541000009</v>
      </c>
      <c r="J87" s="165">
        <v>920.61262158</v>
      </c>
      <c r="K87" s="165">
        <v>903.83448488710007</v>
      </c>
      <c r="L87" s="168">
        <v>816.57814596169999</v>
      </c>
      <c r="M87" s="168">
        <v>801.52401447012323</v>
      </c>
    </row>
    <row r="88" spans="1:13" x14ac:dyDescent="0.2">
      <c r="A88" s="120"/>
      <c r="B88" s="104" t="s">
        <v>715</v>
      </c>
      <c r="C88" s="164" t="s">
        <v>707</v>
      </c>
      <c r="D88" s="172">
        <v>43.217844089972353</v>
      </c>
      <c r="E88" s="172">
        <v>41.70800066558099</v>
      </c>
      <c r="F88" s="172">
        <v>39.687448535692759</v>
      </c>
      <c r="G88" s="208">
        <v>35.012668352679171</v>
      </c>
      <c r="H88" s="208">
        <v>32.044262188723472</v>
      </c>
      <c r="I88" s="208">
        <v>32.719145130014724</v>
      </c>
      <c r="J88" s="208">
        <v>32.719145130014724</v>
      </c>
      <c r="K88" s="208">
        <v>30.188296049058685</v>
      </c>
      <c r="L88" s="173">
        <v>39.310580965776971</v>
      </c>
      <c r="M88" s="173">
        <v>50.797522489773073</v>
      </c>
    </row>
    <row r="89" spans="1:13" x14ac:dyDescent="0.2">
      <c r="A89" s="120"/>
      <c r="B89" s="120" t="s">
        <v>716</v>
      </c>
      <c r="C89" s="164" t="s">
        <v>707</v>
      </c>
      <c r="D89" s="172">
        <v>25.369669605133147</v>
      </c>
      <c r="E89" s="172">
        <v>24.346693933579669</v>
      </c>
      <c r="F89" s="172">
        <v>23.731955569460307</v>
      </c>
      <c r="G89" s="208">
        <v>18.769959693143587</v>
      </c>
      <c r="H89" s="208">
        <v>16.566275397922659</v>
      </c>
      <c r="I89" s="208">
        <v>17.967502734894865</v>
      </c>
      <c r="J89" s="208">
        <v>17.967502734894865</v>
      </c>
      <c r="K89" s="208">
        <v>16.745152007811267</v>
      </c>
      <c r="L89" s="173">
        <v>25.697271339228955</v>
      </c>
      <c r="M89" s="173">
        <v>32.197342332431475</v>
      </c>
    </row>
    <row r="91" spans="1:13" x14ac:dyDescent="0.2">
      <c r="B91" s="104" t="s">
        <v>717</v>
      </c>
      <c r="C91" s="164" t="s">
        <v>707</v>
      </c>
      <c r="D91" s="208">
        <v>9.9335188428977101</v>
      </c>
      <c r="E91" s="208">
        <v>9.5847177407081485</v>
      </c>
      <c r="F91" s="208">
        <v>9.1840966126112331</v>
      </c>
      <c r="G91" s="208">
        <v>7.1569559505382241</v>
      </c>
      <c r="H91" s="208">
        <v>6.6380219827177056</v>
      </c>
      <c r="I91" s="208">
        <v>6.9276920051955342</v>
      </c>
      <c r="J91" s="208">
        <v>6.6179802284988281</v>
      </c>
      <c r="K91" s="208">
        <v>6.4980021009875415</v>
      </c>
      <c r="L91" s="209">
        <v>10.768396426626062</v>
      </c>
      <c r="M91" s="209">
        <v>9.212032726793387</v>
      </c>
    </row>
    <row r="92" spans="1:13" x14ac:dyDescent="0.2">
      <c r="B92" s="104" t="s">
        <v>718</v>
      </c>
      <c r="C92" s="164" t="s">
        <v>707</v>
      </c>
      <c r="D92" s="208">
        <v>6.3171823659180717</v>
      </c>
      <c r="E92" s="208">
        <v>6.2327394201191737</v>
      </c>
      <c r="F92" s="208">
        <v>5.9836358157367808</v>
      </c>
      <c r="G92" s="208">
        <v>5.182991514139748</v>
      </c>
      <c r="H92" s="208">
        <v>5.1142180379844913</v>
      </c>
      <c r="I92" s="208">
        <v>5.2276612369696682</v>
      </c>
      <c r="J92" s="208">
        <v>4.5358012028998953</v>
      </c>
      <c r="K92" s="208">
        <v>4.5337065310160778</v>
      </c>
      <c r="L92" s="209">
        <v>8.892271676765592</v>
      </c>
      <c r="M92" s="209">
        <v>7.0123412846694091</v>
      </c>
    </row>
    <row r="94" spans="1:13" x14ac:dyDescent="0.2">
      <c r="A94" s="103" t="s">
        <v>719</v>
      </c>
      <c r="C94" s="105"/>
      <c r="E94" s="106"/>
      <c r="F94" s="106"/>
      <c r="G94" s="106"/>
      <c r="H94" s="106"/>
      <c r="I94" s="106"/>
      <c r="J94" s="106"/>
      <c r="K94" s="106"/>
      <c r="L94" s="107"/>
      <c r="M94" s="107"/>
    </row>
    <row r="95" spans="1:13" x14ac:dyDescent="0.2">
      <c r="A95" s="1230" t="s">
        <v>343</v>
      </c>
      <c r="B95" s="1231"/>
      <c r="C95" s="108" t="s">
        <v>675</v>
      </c>
      <c r="D95" s="111" t="s">
        <v>671</v>
      </c>
      <c r="E95" s="111">
        <v>2013</v>
      </c>
      <c r="F95" s="111">
        <v>2014</v>
      </c>
      <c r="G95" s="111">
        <v>2015</v>
      </c>
      <c r="H95" s="111">
        <v>2016</v>
      </c>
      <c r="I95" s="111">
        <v>2017</v>
      </c>
      <c r="J95" s="111">
        <v>2018</v>
      </c>
      <c r="K95" s="111">
        <v>2019</v>
      </c>
      <c r="L95" s="113">
        <v>2020</v>
      </c>
      <c r="M95" s="113">
        <v>2021</v>
      </c>
    </row>
    <row r="96" spans="1:13" x14ac:dyDescent="0.2">
      <c r="A96" s="126" t="s">
        <v>720</v>
      </c>
      <c r="C96" s="105" t="s">
        <v>687</v>
      </c>
      <c r="D96" s="210">
        <v>22326339</v>
      </c>
      <c r="E96" s="210">
        <v>22631146</v>
      </c>
      <c r="F96" s="210">
        <v>20484430</v>
      </c>
      <c r="G96" s="210">
        <v>18101418</v>
      </c>
      <c r="H96" s="210">
        <v>19198194</v>
      </c>
      <c r="I96" s="210">
        <v>18797972</v>
      </c>
      <c r="J96" s="210">
        <v>20078722</v>
      </c>
      <c r="K96" s="210">
        <v>21087806</v>
      </c>
      <c r="L96" s="211">
        <v>15650090</v>
      </c>
      <c r="M96" s="211">
        <v>13312434</v>
      </c>
    </row>
    <row r="97" spans="1:13" x14ac:dyDescent="0.2">
      <c r="B97" s="212" t="s">
        <v>345</v>
      </c>
      <c r="C97" s="105" t="s">
        <v>687</v>
      </c>
      <c r="D97" s="165">
        <v>650263</v>
      </c>
      <c r="E97" s="165">
        <v>1984903</v>
      </c>
      <c r="F97" s="165">
        <v>989396</v>
      </c>
      <c r="G97" s="213">
        <v>753497</v>
      </c>
      <c r="H97" s="213">
        <v>949327</v>
      </c>
      <c r="I97" s="213">
        <v>1142004</v>
      </c>
      <c r="J97" s="213">
        <v>1081642</v>
      </c>
      <c r="K97" s="213">
        <v>1072579</v>
      </c>
      <c r="L97" s="214">
        <v>1695841</v>
      </c>
      <c r="M97" s="214">
        <v>1046835</v>
      </c>
    </row>
    <row r="98" spans="1:13" x14ac:dyDescent="0.2">
      <c r="B98" s="212" t="s">
        <v>346</v>
      </c>
      <c r="C98" s="105" t="s">
        <v>687</v>
      </c>
      <c r="D98" s="165">
        <v>636543</v>
      </c>
      <c r="E98" s="165">
        <v>709944</v>
      </c>
      <c r="F98" s="165">
        <v>650401</v>
      </c>
      <c r="G98" s="213">
        <v>651348</v>
      </c>
      <c r="H98" s="213">
        <v>712828</v>
      </c>
      <c r="I98" s="213">
        <v>559919</v>
      </c>
      <c r="J98" s="213">
        <v>383984</v>
      </c>
      <c r="K98" s="213">
        <v>499504</v>
      </c>
      <c r="L98" s="214">
        <v>50250</v>
      </c>
      <c r="M98" s="214">
        <v>101138</v>
      </c>
    </row>
    <row r="99" spans="1:13" x14ac:dyDescent="0.2">
      <c r="B99" s="212" t="s">
        <v>347</v>
      </c>
      <c r="C99" s="105" t="s">
        <v>687</v>
      </c>
      <c r="D99" s="165">
        <v>284404</v>
      </c>
      <c r="E99" s="165">
        <v>335617</v>
      </c>
      <c r="F99" s="165">
        <v>247871</v>
      </c>
      <c r="G99" s="213">
        <v>330016</v>
      </c>
      <c r="H99" s="213">
        <v>212242</v>
      </c>
      <c r="I99" s="213">
        <v>221188</v>
      </c>
      <c r="J99" s="213">
        <v>290476</v>
      </c>
      <c r="K99" s="213">
        <v>313449</v>
      </c>
      <c r="L99" s="214">
        <v>155892</v>
      </c>
      <c r="M99" s="214">
        <v>108368</v>
      </c>
    </row>
    <row r="100" spans="1:13" x14ac:dyDescent="0.2">
      <c r="B100" s="212" t="s">
        <v>348</v>
      </c>
      <c r="C100" s="105" t="s">
        <v>687</v>
      </c>
      <c r="D100" s="165">
        <v>1417531</v>
      </c>
      <c r="E100" s="165">
        <v>1633094</v>
      </c>
      <c r="F100" s="165">
        <v>1378837</v>
      </c>
      <c r="G100" s="213">
        <v>796974</v>
      </c>
      <c r="H100" s="213">
        <v>1107889</v>
      </c>
      <c r="I100" s="213">
        <v>1214050</v>
      </c>
      <c r="J100" s="213">
        <v>1162582</v>
      </c>
      <c r="K100" s="213">
        <v>1244348</v>
      </c>
      <c r="L100" s="214">
        <v>599381</v>
      </c>
      <c r="M100" s="214">
        <v>902672</v>
      </c>
    </row>
    <row r="101" spans="1:13" x14ac:dyDescent="0.2">
      <c r="B101" s="212" t="s">
        <v>349</v>
      </c>
      <c r="C101" s="105" t="s">
        <v>687</v>
      </c>
      <c r="D101" s="165">
        <v>15187</v>
      </c>
      <c r="E101" s="165">
        <v>628</v>
      </c>
      <c r="F101" s="165">
        <v>308</v>
      </c>
      <c r="G101" s="213">
        <v>183</v>
      </c>
      <c r="H101" s="213">
        <v>554</v>
      </c>
      <c r="I101" s="213">
        <v>2582</v>
      </c>
      <c r="J101" s="213">
        <v>2931</v>
      </c>
      <c r="K101" s="213">
        <v>19645</v>
      </c>
      <c r="L101" s="214">
        <v>158</v>
      </c>
      <c r="M101" s="214">
        <v>724</v>
      </c>
    </row>
    <row r="102" spans="1:13" x14ac:dyDescent="0.2">
      <c r="B102" s="212" t="s">
        <v>350</v>
      </c>
      <c r="C102" s="105" t="s">
        <v>687</v>
      </c>
      <c r="D102" s="165">
        <v>176818</v>
      </c>
      <c r="E102" s="165">
        <v>231028</v>
      </c>
      <c r="F102" s="165">
        <v>266039</v>
      </c>
      <c r="G102" s="213">
        <v>224908</v>
      </c>
      <c r="H102" s="213">
        <v>241363</v>
      </c>
      <c r="I102" s="213">
        <v>236666</v>
      </c>
      <c r="J102" s="213">
        <v>279344</v>
      </c>
      <c r="K102" s="213">
        <v>354232</v>
      </c>
      <c r="L102" s="214">
        <v>323574</v>
      </c>
      <c r="M102" s="214">
        <v>287337</v>
      </c>
    </row>
    <row r="103" spans="1:13" x14ac:dyDescent="0.2">
      <c r="B103" s="212" t="s">
        <v>351</v>
      </c>
      <c r="C103" s="105" t="s">
        <v>687</v>
      </c>
      <c r="D103" s="165">
        <v>95785</v>
      </c>
      <c r="E103" s="165">
        <v>81890</v>
      </c>
      <c r="F103" s="165">
        <v>100708</v>
      </c>
      <c r="G103" s="213">
        <v>64015</v>
      </c>
      <c r="H103" s="213">
        <v>65377</v>
      </c>
      <c r="I103" s="213">
        <v>77987</v>
      </c>
      <c r="J103" s="213">
        <v>69134</v>
      </c>
      <c r="K103" s="213">
        <v>29321</v>
      </c>
      <c r="L103" s="214">
        <v>42320</v>
      </c>
      <c r="M103" s="214">
        <v>41264</v>
      </c>
    </row>
    <row r="104" spans="1:13" x14ac:dyDescent="0.2">
      <c r="B104" s="212" t="s">
        <v>352</v>
      </c>
      <c r="C104" s="105" t="s">
        <v>687</v>
      </c>
      <c r="D104" s="165">
        <v>47655</v>
      </c>
      <c r="E104" s="165">
        <v>2445</v>
      </c>
      <c r="F104" s="165">
        <v>1064</v>
      </c>
      <c r="G104" s="213">
        <v>1960</v>
      </c>
      <c r="H104" s="213">
        <v>337195</v>
      </c>
      <c r="I104" s="213">
        <v>291103</v>
      </c>
      <c r="J104" s="213">
        <v>5768</v>
      </c>
      <c r="K104" s="213">
        <v>485150</v>
      </c>
      <c r="L104" s="214">
        <v>276122</v>
      </c>
      <c r="M104" s="214">
        <v>146792</v>
      </c>
    </row>
    <row r="105" spans="1:13" x14ac:dyDescent="0.2">
      <c r="B105" s="126" t="s">
        <v>721</v>
      </c>
      <c r="C105" s="105" t="s">
        <v>687</v>
      </c>
      <c r="D105" s="210">
        <v>3324186</v>
      </c>
      <c r="E105" s="210">
        <v>4979549</v>
      </c>
      <c r="F105" s="210">
        <v>3634624</v>
      </c>
      <c r="G105" s="210">
        <v>2822901</v>
      </c>
      <c r="H105" s="210">
        <v>3626775</v>
      </c>
      <c r="I105" s="210">
        <v>3745499</v>
      </c>
      <c r="J105" s="210">
        <v>3275861</v>
      </c>
      <c r="K105" s="210">
        <v>4018228</v>
      </c>
      <c r="L105" s="211">
        <v>3143538</v>
      </c>
      <c r="M105" s="211">
        <v>2635130</v>
      </c>
    </row>
    <row r="106" spans="1:13" x14ac:dyDescent="0.2">
      <c r="B106" s="212" t="s">
        <v>354</v>
      </c>
      <c r="C106" s="105" t="s">
        <v>687</v>
      </c>
      <c r="D106" s="165">
        <v>11807076</v>
      </c>
      <c r="E106" s="165">
        <v>10982786</v>
      </c>
      <c r="F106" s="165">
        <v>10773076</v>
      </c>
      <c r="G106" s="213">
        <v>10938657</v>
      </c>
      <c r="H106" s="213">
        <v>10498149</v>
      </c>
      <c r="I106" s="213">
        <v>10065335</v>
      </c>
      <c r="J106" s="213">
        <v>12501809</v>
      </c>
      <c r="K106" s="213">
        <v>12919618</v>
      </c>
      <c r="L106" s="214">
        <v>10730269</v>
      </c>
      <c r="M106" s="214">
        <v>9489867</v>
      </c>
    </row>
    <row r="107" spans="1:13" x14ac:dyDescent="0.2">
      <c r="B107" s="212" t="s">
        <v>355</v>
      </c>
      <c r="C107" s="105" t="s">
        <v>687</v>
      </c>
      <c r="D107" s="165">
        <v>4213160</v>
      </c>
      <c r="E107" s="165">
        <v>3727605</v>
      </c>
      <c r="F107" s="165">
        <v>3313401</v>
      </c>
      <c r="G107" s="213">
        <v>2280575</v>
      </c>
      <c r="H107" s="213">
        <v>2710382</v>
      </c>
      <c r="I107" s="213">
        <v>2672550</v>
      </c>
      <c r="J107" s="213">
        <v>2294072</v>
      </c>
      <c r="K107" s="213">
        <v>2209576</v>
      </c>
      <c r="L107" s="214">
        <v>0</v>
      </c>
      <c r="M107" s="214">
        <v>0</v>
      </c>
    </row>
    <row r="108" spans="1:13" x14ac:dyDescent="0.2">
      <c r="B108" s="212" t="s">
        <v>356</v>
      </c>
      <c r="C108" s="105" t="s">
        <v>687</v>
      </c>
      <c r="D108" s="165">
        <v>2382399</v>
      </c>
      <c r="E108" s="165">
        <v>2093308</v>
      </c>
      <c r="F108" s="165">
        <v>1880079</v>
      </c>
      <c r="G108" s="213">
        <v>1321425</v>
      </c>
      <c r="H108" s="213">
        <v>1610313</v>
      </c>
      <c r="I108" s="213">
        <v>1617247</v>
      </c>
      <c r="J108" s="213">
        <v>1441072</v>
      </c>
      <c r="K108" s="213">
        <v>1448241</v>
      </c>
      <c r="L108" s="214">
        <v>1046559</v>
      </c>
      <c r="M108" s="214">
        <v>1018892</v>
      </c>
    </row>
    <row r="109" spans="1:13" x14ac:dyDescent="0.2">
      <c r="B109" s="212" t="s">
        <v>357</v>
      </c>
      <c r="C109" s="105" t="s">
        <v>687</v>
      </c>
      <c r="D109" s="165">
        <v>590514</v>
      </c>
      <c r="E109" s="165">
        <v>847898</v>
      </c>
      <c r="F109" s="165">
        <v>883250</v>
      </c>
      <c r="G109" s="213">
        <v>737860</v>
      </c>
      <c r="H109" s="213">
        <v>752575</v>
      </c>
      <c r="I109" s="213">
        <v>697341</v>
      </c>
      <c r="J109" s="213">
        <v>565908</v>
      </c>
      <c r="K109" s="213">
        <v>492143</v>
      </c>
      <c r="L109" s="214">
        <v>729724</v>
      </c>
      <c r="M109" s="214">
        <v>168545</v>
      </c>
    </row>
    <row r="110" spans="1:13" x14ac:dyDescent="0.2">
      <c r="B110" s="126" t="s">
        <v>722</v>
      </c>
      <c r="C110" s="105" t="s">
        <v>687</v>
      </c>
      <c r="D110" s="210">
        <v>19002153</v>
      </c>
      <c r="E110" s="210">
        <v>17651597</v>
      </c>
      <c r="F110" s="210">
        <v>16849806</v>
      </c>
      <c r="G110" s="210">
        <v>15278517</v>
      </c>
      <c r="H110" s="210">
        <v>15571419</v>
      </c>
      <c r="I110" s="210">
        <v>15052473</v>
      </c>
      <c r="J110" s="210">
        <v>16802861</v>
      </c>
      <c r="K110" s="210">
        <v>17069578</v>
      </c>
      <c r="L110" s="211">
        <v>12506552</v>
      </c>
      <c r="M110" s="211">
        <v>10677304</v>
      </c>
    </row>
    <row r="111" spans="1:13" x14ac:dyDescent="0.2">
      <c r="B111" s="126"/>
      <c r="C111" s="105"/>
      <c r="D111" s="126"/>
      <c r="E111" s="126"/>
      <c r="F111" s="126"/>
      <c r="G111" s="213"/>
      <c r="H111" s="213"/>
      <c r="I111" s="213"/>
      <c r="J111" s="213"/>
      <c r="K111" s="213"/>
      <c r="L111" s="214"/>
      <c r="M111" s="214"/>
    </row>
    <row r="112" spans="1:13" x14ac:dyDescent="0.2">
      <c r="A112" s="126" t="s">
        <v>723</v>
      </c>
      <c r="C112" s="105" t="s">
        <v>687</v>
      </c>
      <c r="D112" s="210">
        <v>22326339</v>
      </c>
      <c r="E112" s="210">
        <v>22631146</v>
      </c>
      <c r="F112" s="210">
        <v>20484430</v>
      </c>
      <c r="G112" s="210">
        <v>18101418</v>
      </c>
      <c r="H112" s="210">
        <v>19198194</v>
      </c>
      <c r="I112" s="210">
        <v>18797972</v>
      </c>
      <c r="J112" s="210">
        <v>20078722</v>
      </c>
      <c r="K112" s="210">
        <v>21087806</v>
      </c>
      <c r="L112" s="211">
        <v>15650090</v>
      </c>
      <c r="M112" s="211">
        <v>13312434</v>
      </c>
    </row>
    <row r="113" spans="2:13" x14ac:dyDescent="0.2">
      <c r="B113" s="212" t="s">
        <v>360</v>
      </c>
      <c r="C113" s="105" t="s">
        <v>687</v>
      </c>
      <c r="D113" s="165">
        <v>2047330</v>
      </c>
      <c r="E113" s="165">
        <v>2039787</v>
      </c>
      <c r="F113" s="165">
        <v>1624615</v>
      </c>
      <c r="G113" s="213">
        <v>1644235</v>
      </c>
      <c r="H113" s="213">
        <v>1839528</v>
      </c>
      <c r="I113" s="213">
        <v>1300949</v>
      </c>
      <c r="J113" s="213">
        <v>1794286</v>
      </c>
      <c r="K113" s="213">
        <v>1885660</v>
      </c>
      <c r="L113" s="214">
        <v>3055730</v>
      </c>
      <c r="M113" s="214">
        <v>4453451</v>
      </c>
    </row>
    <row r="114" spans="2:13" x14ac:dyDescent="0.2">
      <c r="B114" s="212" t="s">
        <v>361</v>
      </c>
      <c r="C114" s="105" t="s">
        <v>687</v>
      </c>
      <c r="D114" s="165">
        <v>1689990</v>
      </c>
      <c r="E114" s="165">
        <v>1557736</v>
      </c>
      <c r="F114" s="165">
        <v>1489396</v>
      </c>
      <c r="G114" s="213">
        <v>1483957</v>
      </c>
      <c r="H114" s="213">
        <v>1593068</v>
      </c>
      <c r="I114" s="213">
        <v>1695202</v>
      </c>
      <c r="J114" s="213">
        <v>1674303</v>
      </c>
      <c r="K114" s="213">
        <v>2222874</v>
      </c>
      <c r="L114" s="214">
        <v>2322125</v>
      </c>
      <c r="M114" s="214">
        <v>4860153</v>
      </c>
    </row>
    <row r="115" spans="2:13" x14ac:dyDescent="0.2">
      <c r="B115" s="212" t="s">
        <v>362</v>
      </c>
      <c r="C115" s="105" t="s">
        <v>687</v>
      </c>
      <c r="D115" s="165">
        <v>14512</v>
      </c>
      <c r="E115" s="165">
        <v>505</v>
      </c>
      <c r="F115" s="165">
        <v>35</v>
      </c>
      <c r="G115" s="213">
        <v>19378</v>
      </c>
      <c r="H115" s="213">
        <v>14286</v>
      </c>
      <c r="I115" s="213">
        <v>3511</v>
      </c>
      <c r="J115" s="213">
        <v>3738</v>
      </c>
      <c r="K115" s="213">
        <v>11925</v>
      </c>
      <c r="L115" s="214">
        <v>656</v>
      </c>
      <c r="M115" s="214">
        <v>675</v>
      </c>
    </row>
    <row r="116" spans="2:13" x14ac:dyDescent="0.2">
      <c r="B116" s="212" t="s">
        <v>363</v>
      </c>
      <c r="C116" s="105" t="s">
        <v>687</v>
      </c>
      <c r="D116" s="165">
        <v>2545735</v>
      </c>
      <c r="E116" s="165">
        <v>2911079</v>
      </c>
      <c r="F116" s="165">
        <v>2715686</v>
      </c>
      <c r="G116" s="213">
        <v>2493402</v>
      </c>
      <c r="H116" s="213">
        <v>2775309</v>
      </c>
      <c r="I116" s="213">
        <v>2843052</v>
      </c>
      <c r="J116" s="213">
        <v>2459922</v>
      </c>
      <c r="K116" s="213">
        <v>2840483</v>
      </c>
      <c r="L116" s="214">
        <v>2113377</v>
      </c>
      <c r="M116" s="214">
        <v>3022050</v>
      </c>
    </row>
    <row r="117" spans="2:13" x14ac:dyDescent="0.2">
      <c r="B117" s="126" t="s">
        <v>724</v>
      </c>
      <c r="C117" s="105" t="s">
        <v>687</v>
      </c>
      <c r="D117" s="210">
        <v>6297567</v>
      </c>
      <c r="E117" s="210">
        <v>6509107</v>
      </c>
      <c r="F117" s="210">
        <v>5829732</v>
      </c>
      <c r="G117" s="210">
        <v>5640972</v>
      </c>
      <c r="H117" s="210">
        <v>6222191</v>
      </c>
      <c r="I117" s="210">
        <v>5842714</v>
      </c>
      <c r="J117" s="210">
        <v>5932249</v>
      </c>
      <c r="K117" s="210">
        <v>6960942</v>
      </c>
      <c r="L117" s="211">
        <v>7491888</v>
      </c>
      <c r="M117" s="211">
        <v>12336329</v>
      </c>
    </row>
    <row r="118" spans="2:13" x14ac:dyDescent="0.2">
      <c r="B118" s="212" t="s">
        <v>360</v>
      </c>
      <c r="C118" s="105" t="s">
        <v>687</v>
      </c>
      <c r="D118" s="165">
        <v>7698857</v>
      </c>
      <c r="E118" s="165">
        <v>7859985</v>
      </c>
      <c r="F118" s="165">
        <v>7389012</v>
      </c>
      <c r="G118" s="213">
        <v>7532385</v>
      </c>
      <c r="H118" s="213">
        <v>6796952</v>
      </c>
      <c r="I118" s="213">
        <v>6605508</v>
      </c>
      <c r="J118" s="213">
        <v>8359462</v>
      </c>
      <c r="K118" s="213">
        <v>8530418</v>
      </c>
      <c r="L118" s="214">
        <v>7803801</v>
      </c>
      <c r="M118" s="214">
        <v>5948702</v>
      </c>
    </row>
    <row r="119" spans="2:13" x14ac:dyDescent="0.2">
      <c r="B119" s="212" t="s">
        <v>365</v>
      </c>
      <c r="C119" s="105" t="s">
        <v>687</v>
      </c>
      <c r="D119" s="165">
        <v>1085601</v>
      </c>
      <c r="E119" s="165">
        <v>922887</v>
      </c>
      <c r="F119" s="165">
        <v>577454</v>
      </c>
      <c r="G119" s="213">
        <v>417050</v>
      </c>
      <c r="H119" s="213">
        <v>359391</v>
      </c>
      <c r="I119" s="213">
        <v>498832</v>
      </c>
      <c r="J119" s="213">
        <v>529277</v>
      </c>
      <c r="K119" s="213">
        <v>619110</v>
      </c>
      <c r="L119" s="214">
        <v>651600</v>
      </c>
      <c r="M119" s="214">
        <v>472426</v>
      </c>
    </row>
    <row r="120" spans="2:13" x14ac:dyDescent="0.2">
      <c r="B120" s="212" t="s">
        <v>725</v>
      </c>
      <c r="C120" s="105"/>
      <c r="D120" s="165"/>
      <c r="E120" s="165"/>
      <c r="F120" s="165"/>
      <c r="G120" s="213"/>
      <c r="H120" s="213"/>
      <c r="I120" s="213"/>
      <c r="J120" s="213"/>
      <c r="K120" s="213"/>
      <c r="L120" s="214"/>
      <c r="M120" s="214">
        <v>0</v>
      </c>
    </row>
    <row r="121" spans="2:13" x14ac:dyDescent="0.2">
      <c r="B121" s="212" t="s">
        <v>366</v>
      </c>
      <c r="C121" s="105" t="s">
        <v>687</v>
      </c>
      <c r="D121" s="165">
        <v>1306872</v>
      </c>
      <c r="E121" s="165">
        <v>1122247</v>
      </c>
      <c r="F121" s="165">
        <v>703140</v>
      </c>
      <c r="G121" s="213">
        <v>424497</v>
      </c>
      <c r="H121" s="213">
        <v>422494</v>
      </c>
      <c r="I121" s="213">
        <v>374593</v>
      </c>
      <c r="J121" s="213">
        <v>303495</v>
      </c>
      <c r="K121" s="213">
        <v>286403</v>
      </c>
      <c r="L121" s="214">
        <v>396423</v>
      </c>
      <c r="M121" s="214">
        <v>712581</v>
      </c>
    </row>
    <row r="122" spans="2:13" x14ac:dyDescent="0.2">
      <c r="B122" s="212" t="s">
        <v>367</v>
      </c>
      <c r="C122" s="105" t="s">
        <v>687</v>
      </c>
      <c r="D122" s="165">
        <v>579339</v>
      </c>
      <c r="E122" s="165">
        <v>767228</v>
      </c>
      <c r="F122" s="165">
        <v>1051894</v>
      </c>
      <c r="G122" s="213">
        <v>811565</v>
      </c>
      <c r="H122" s="213">
        <v>915759</v>
      </c>
      <c r="I122" s="213">
        <v>949697</v>
      </c>
      <c r="J122" s="213">
        <v>786571</v>
      </c>
      <c r="K122" s="213">
        <v>616803</v>
      </c>
      <c r="L122" s="214">
        <v>588359</v>
      </c>
      <c r="M122" s="214">
        <v>341011</v>
      </c>
    </row>
    <row r="123" spans="2:13" x14ac:dyDescent="0.2">
      <c r="B123" s="212" t="s">
        <v>368</v>
      </c>
      <c r="C123" s="105" t="s">
        <v>687</v>
      </c>
      <c r="D123" s="165">
        <v>38095</v>
      </c>
      <c r="E123" s="165">
        <v>45666</v>
      </c>
      <c r="F123" s="165">
        <v>74102</v>
      </c>
      <c r="G123" s="213">
        <v>65271</v>
      </c>
      <c r="H123" s="213">
        <v>82322</v>
      </c>
      <c r="I123" s="213">
        <v>101087</v>
      </c>
      <c r="J123" s="213">
        <v>82365</v>
      </c>
      <c r="K123" s="213">
        <v>93570</v>
      </c>
      <c r="L123" s="214">
        <v>384280</v>
      </c>
      <c r="M123" s="214">
        <v>56233</v>
      </c>
    </row>
    <row r="124" spans="2:13" x14ac:dyDescent="0.2">
      <c r="B124" s="212" t="s">
        <v>363</v>
      </c>
      <c r="C124" s="105" t="s">
        <v>687</v>
      </c>
      <c r="D124" s="165">
        <v>99323</v>
      </c>
      <c r="E124" s="165">
        <v>77567</v>
      </c>
      <c r="F124" s="165">
        <v>355401</v>
      </c>
      <c r="G124" s="213">
        <v>272130</v>
      </c>
      <c r="H124" s="213">
        <v>213781</v>
      </c>
      <c r="I124" s="213">
        <v>158305</v>
      </c>
      <c r="J124" s="213">
        <v>644702</v>
      </c>
      <c r="K124" s="213">
        <v>851383</v>
      </c>
      <c r="L124" s="214">
        <v>74116</v>
      </c>
      <c r="M124" s="214">
        <v>512056</v>
      </c>
    </row>
    <row r="125" spans="2:13" x14ac:dyDescent="0.2">
      <c r="B125" s="126" t="s">
        <v>726</v>
      </c>
      <c r="C125" s="105" t="s">
        <v>687</v>
      </c>
      <c r="D125" s="210">
        <v>10808087</v>
      </c>
      <c r="E125" s="210">
        <v>10795580</v>
      </c>
      <c r="F125" s="210">
        <v>10151003</v>
      </c>
      <c r="G125" s="210">
        <v>9522898</v>
      </c>
      <c r="H125" s="210">
        <v>8790699</v>
      </c>
      <c r="I125" s="210">
        <v>8688022</v>
      </c>
      <c r="J125" s="210">
        <v>10705872</v>
      </c>
      <c r="K125" s="210">
        <v>10997687</v>
      </c>
      <c r="L125" s="210">
        <v>702008</v>
      </c>
      <c r="M125" s="210">
        <v>8043009</v>
      </c>
    </row>
    <row r="126" spans="2:13" x14ac:dyDescent="0.2">
      <c r="B126" s="126" t="s">
        <v>727</v>
      </c>
      <c r="C126" s="105" t="s">
        <v>687</v>
      </c>
      <c r="D126" s="210">
        <v>17105654</v>
      </c>
      <c r="E126" s="210">
        <v>17304687</v>
      </c>
      <c r="F126" s="210">
        <v>15980735</v>
      </c>
      <c r="G126" s="210">
        <v>15163870</v>
      </c>
      <c r="H126" s="210">
        <v>15012890</v>
      </c>
      <c r="I126" s="210">
        <v>14530736</v>
      </c>
      <c r="J126" s="210">
        <v>16638121</v>
      </c>
      <c r="K126" s="210">
        <v>17958629</v>
      </c>
      <c r="L126" s="211">
        <v>10600587</v>
      </c>
      <c r="M126" s="211">
        <v>20379338</v>
      </c>
    </row>
    <row r="127" spans="2:13" x14ac:dyDescent="0.2">
      <c r="B127" s="126"/>
      <c r="D127" s="126"/>
      <c r="E127" s="126"/>
      <c r="F127" s="126"/>
      <c r="G127" s="126"/>
      <c r="H127" s="126"/>
      <c r="I127" s="210"/>
      <c r="J127" s="210"/>
      <c r="K127" s="210"/>
      <c r="L127" s="211"/>
      <c r="M127" s="211"/>
    </row>
    <row r="128" spans="2:13" x14ac:dyDescent="0.2">
      <c r="B128" s="212" t="s">
        <v>371</v>
      </c>
      <c r="C128" s="105" t="s">
        <v>687</v>
      </c>
      <c r="D128" s="165">
        <v>1501018</v>
      </c>
      <c r="E128" s="165">
        <v>2389384</v>
      </c>
      <c r="F128" s="165">
        <v>2545705</v>
      </c>
      <c r="G128" s="165">
        <v>2545705</v>
      </c>
      <c r="H128" s="165">
        <v>3149564</v>
      </c>
      <c r="I128" s="165">
        <v>3146265</v>
      </c>
      <c r="J128" s="165">
        <v>3146265</v>
      </c>
      <c r="K128" s="165">
        <v>3146265</v>
      </c>
      <c r="L128" s="168">
        <v>3146265</v>
      </c>
      <c r="M128" s="168">
        <v>3146265</v>
      </c>
    </row>
    <row r="129" spans="1:13" x14ac:dyDescent="0.2">
      <c r="B129" s="212" t="s">
        <v>372</v>
      </c>
      <c r="C129" s="105" t="s">
        <v>687</v>
      </c>
      <c r="D129" s="165">
        <v>1076136</v>
      </c>
      <c r="E129" s="165">
        <v>795303</v>
      </c>
      <c r="F129" s="165">
        <v>536190</v>
      </c>
      <c r="G129" s="165">
        <v>317950</v>
      </c>
      <c r="H129" s="165">
        <v>366404</v>
      </c>
      <c r="I129" s="165">
        <v>475118</v>
      </c>
      <c r="J129" s="165">
        <v>218971</v>
      </c>
      <c r="K129" s="165">
        <v>352272</v>
      </c>
      <c r="L129" s="168">
        <v>-4193615</v>
      </c>
      <c r="M129" s="168">
        <v>-8841106</v>
      </c>
    </row>
    <row r="130" spans="1:13" x14ac:dyDescent="0.2">
      <c r="B130" s="212" t="s">
        <v>373</v>
      </c>
      <c r="C130" s="105" t="s">
        <v>687</v>
      </c>
      <c r="D130" s="165">
        <v>-203</v>
      </c>
      <c r="E130" s="165">
        <v>-178</v>
      </c>
      <c r="F130" s="165">
        <v>-178</v>
      </c>
      <c r="G130" s="165">
        <v>-178</v>
      </c>
      <c r="H130" s="165">
        <v>-178</v>
      </c>
      <c r="I130" s="165">
        <v>-178</v>
      </c>
      <c r="J130" s="165">
        <v>-178</v>
      </c>
      <c r="K130" s="165">
        <v>-178</v>
      </c>
      <c r="L130" s="168">
        <v>-178</v>
      </c>
      <c r="M130" s="168">
        <v>-178</v>
      </c>
    </row>
    <row r="131" spans="1:13" x14ac:dyDescent="0.2">
      <c r="B131" s="212" t="s">
        <v>374</v>
      </c>
      <c r="C131" s="105" t="s">
        <v>687</v>
      </c>
      <c r="D131" s="165">
        <v>2535100</v>
      </c>
      <c r="E131" s="165">
        <v>2054312</v>
      </c>
      <c r="F131" s="165">
        <v>1320179</v>
      </c>
      <c r="G131" s="165">
        <v>-6942</v>
      </c>
      <c r="H131" s="165">
        <v>580870</v>
      </c>
      <c r="I131" s="165">
        <v>554884</v>
      </c>
      <c r="J131" s="165">
        <v>-4365</v>
      </c>
      <c r="K131" s="165">
        <v>-367577</v>
      </c>
      <c r="L131" s="168">
        <v>-1388185</v>
      </c>
      <c r="M131" s="168">
        <v>-1361529</v>
      </c>
    </row>
    <row r="132" spans="1:13" x14ac:dyDescent="0.2">
      <c r="B132" s="212" t="s">
        <v>375</v>
      </c>
      <c r="C132" s="105" t="s">
        <v>687</v>
      </c>
      <c r="D132" s="165">
        <v>5112051</v>
      </c>
      <c r="E132" s="165">
        <v>5238821</v>
      </c>
      <c r="F132" s="165">
        <v>4401896</v>
      </c>
      <c r="G132" s="165">
        <v>2856535</v>
      </c>
      <c r="H132" s="165">
        <v>4096660</v>
      </c>
      <c r="I132" s="165">
        <v>4176089</v>
      </c>
      <c r="J132" s="165">
        <v>3360693</v>
      </c>
      <c r="K132" s="165">
        <v>3130782</v>
      </c>
      <c r="L132" s="168">
        <v>-2435713</v>
      </c>
      <c r="M132" s="168">
        <v>-7056548</v>
      </c>
    </row>
    <row r="133" spans="1:13" x14ac:dyDescent="0.2">
      <c r="B133" s="212" t="s">
        <v>376</v>
      </c>
      <c r="C133" s="105" t="s">
        <v>687</v>
      </c>
      <c r="D133" s="165">
        <v>108634</v>
      </c>
      <c r="E133" s="165">
        <v>87638</v>
      </c>
      <c r="F133" s="165">
        <v>101799</v>
      </c>
      <c r="G133" s="213">
        <v>81013</v>
      </c>
      <c r="H133" s="213">
        <v>88644</v>
      </c>
      <c r="I133" s="213">
        <v>91147</v>
      </c>
      <c r="J133" s="213">
        <v>79908</v>
      </c>
      <c r="K133" s="213">
        <v>-1605</v>
      </c>
      <c r="L133" s="214">
        <v>-6673</v>
      </c>
      <c r="M133" s="214">
        <v>-10356</v>
      </c>
    </row>
    <row r="134" spans="1:13" x14ac:dyDescent="0.2">
      <c r="B134" s="126" t="s">
        <v>728</v>
      </c>
      <c r="C134" s="105" t="s">
        <v>687</v>
      </c>
      <c r="D134" s="210">
        <v>5220685</v>
      </c>
      <c r="E134" s="210">
        <v>5326459</v>
      </c>
      <c r="F134" s="210">
        <v>4503695</v>
      </c>
      <c r="G134" s="210">
        <v>2937548</v>
      </c>
      <c r="H134" s="210">
        <v>4185304</v>
      </c>
      <c r="I134" s="210">
        <v>4267236</v>
      </c>
      <c r="J134" s="210">
        <v>3440601</v>
      </c>
      <c r="K134" s="210">
        <v>3129177</v>
      </c>
      <c r="L134" s="211">
        <v>-2442386</v>
      </c>
      <c r="M134" s="211">
        <v>-7066904</v>
      </c>
    </row>
    <row r="135" spans="1:13" x14ac:dyDescent="0.2">
      <c r="L135" s="104"/>
      <c r="M135" s="104"/>
    </row>
    <row r="137" spans="1:13" x14ac:dyDescent="0.2">
      <c r="A137" s="103" t="s">
        <v>729</v>
      </c>
      <c r="C137" s="105"/>
      <c r="D137" s="106"/>
      <c r="E137" s="106"/>
      <c r="F137" s="106"/>
      <c r="G137" s="106"/>
      <c r="H137" s="106"/>
      <c r="I137" s="106"/>
      <c r="J137" s="106"/>
      <c r="K137" s="106"/>
    </row>
    <row r="138" spans="1:13" x14ac:dyDescent="0.2">
      <c r="A138" s="1230" t="s">
        <v>343</v>
      </c>
      <c r="B138" s="1231"/>
      <c r="C138" s="108" t="s">
        <v>675</v>
      </c>
      <c r="D138" s="215" t="s">
        <v>671</v>
      </c>
      <c r="E138" s="111">
        <v>2013</v>
      </c>
      <c r="F138" s="111">
        <v>2014</v>
      </c>
      <c r="G138" s="111">
        <v>2015</v>
      </c>
      <c r="H138" s="111">
        <v>2016</v>
      </c>
      <c r="I138" s="111">
        <v>2017</v>
      </c>
      <c r="J138" s="111">
        <v>2018</v>
      </c>
      <c r="K138" s="111">
        <v>2019</v>
      </c>
      <c r="L138" s="113">
        <v>2020</v>
      </c>
      <c r="M138" s="113">
        <v>2021</v>
      </c>
    </row>
    <row r="139" spans="1:13" x14ac:dyDescent="0.2">
      <c r="A139" s="126" t="s">
        <v>730</v>
      </c>
      <c r="D139" s="210"/>
      <c r="E139" s="210"/>
      <c r="F139" s="210"/>
      <c r="G139" s="210"/>
      <c r="H139" s="210"/>
      <c r="I139" s="210"/>
      <c r="J139" s="210"/>
      <c r="K139" s="210"/>
      <c r="L139" s="211"/>
      <c r="M139" s="211"/>
    </row>
    <row r="140" spans="1:13" x14ac:dyDescent="0.2">
      <c r="B140" s="126" t="s">
        <v>731</v>
      </c>
      <c r="D140" s="165"/>
      <c r="E140" s="165"/>
      <c r="F140" s="165"/>
      <c r="G140" s="165"/>
      <c r="H140" s="165"/>
      <c r="I140" s="165"/>
      <c r="J140" s="165"/>
      <c r="K140" s="165"/>
      <c r="L140" s="168"/>
      <c r="M140" s="168"/>
    </row>
    <row r="141" spans="1:13" x14ac:dyDescent="0.2">
      <c r="B141" s="212" t="s">
        <v>732</v>
      </c>
      <c r="C141" s="105" t="s">
        <v>687</v>
      </c>
      <c r="D141" s="165">
        <v>10258473</v>
      </c>
      <c r="E141" s="165">
        <v>13406275</v>
      </c>
      <c r="F141" s="165">
        <v>13367838</v>
      </c>
      <c r="G141" s="165">
        <v>11372397</v>
      </c>
      <c r="H141" s="165">
        <v>9918589</v>
      </c>
      <c r="I141" s="165">
        <v>10595718</v>
      </c>
      <c r="J141" s="165">
        <v>10787805</v>
      </c>
      <c r="K141" s="165">
        <v>11079333</v>
      </c>
      <c r="L141" s="168">
        <v>4620409</v>
      </c>
      <c r="M141" s="168">
        <v>5359778</v>
      </c>
    </row>
    <row r="142" spans="1:13" x14ac:dyDescent="0.2">
      <c r="B142" s="216" t="s">
        <v>733</v>
      </c>
      <c r="C142" s="105" t="s">
        <v>687</v>
      </c>
      <c r="D142" s="165">
        <v>57763</v>
      </c>
      <c r="E142" s="165">
        <v>4638</v>
      </c>
      <c r="F142" s="165">
        <v>96931</v>
      </c>
      <c r="G142" s="165">
        <v>88237</v>
      </c>
      <c r="H142" s="165">
        <v>70359</v>
      </c>
      <c r="I142" s="165">
        <v>73668</v>
      </c>
      <c r="J142" s="165">
        <v>95099</v>
      </c>
      <c r="K142" s="165">
        <v>127683</v>
      </c>
      <c r="L142" s="168">
        <v>51900</v>
      </c>
      <c r="M142" s="168">
        <v>52084</v>
      </c>
    </row>
    <row r="143" spans="1:13" x14ac:dyDescent="0.2">
      <c r="B143" s="217"/>
      <c r="D143" s="165"/>
      <c r="E143" s="165"/>
      <c r="F143" s="165"/>
      <c r="G143" s="165"/>
      <c r="H143" s="165"/>
      <c r="I143" s="165"/>
      <c r="J143" s="165"/>
      <c r="K143" s="165"/>
      <c r="L143" s="168"/>
      <c r="M143" s="168"/>
    </row>
    <row r="144" spans="1:13" x14ac:dyDescent="0.2">
      <c r="B144" s="126" t="s">
        <v>734</v>
      </c>
      <c r="D144" s="165"/>
      <c r="E144" s="165"/>
      <c r="F144" s="165"/>
      <c r="G144" s="165"/>
      <c r="H144" s="165"/>
      <c r="I144" s="165"/>
      <c r="J144" s="165"/>
      <c r="K144" s="165"/>
      <c r="L144" s="168"/>
      <c r="M144" s="168"/>
    </row>
    <row r="145" spans="1:13" x14ac:dyDescent="0.2">
      <c r="B145" s="212" t="s">
        <v>735</v>
      </c>
      <c r="C145" s="105" t="s">
        <v>687</v>
      </c>
      <c r="D145" s="165">
        <v>-7153865</v>
      </c>
      <c r="E145" s="165">
        <v>-9570723</v>
      </c>
      <c r="F145" s="165">
        <v>-8823007</v>
      </c>
      <c r="G145" s="165">
        <v>-7029582</v>
      </c>
      <c r="H145" s="165">
        <v>-6756121</v>
      </c>
      <c r="I145" s="165">
        <v>-6722713</v>
      </c>
      <c r="J145" s="165">
        <v>-6760873.7062698286</v>
      </c>
      <c r="K145" s="165">
        <v>-6663875</v>
      </c>
      <c r="L145" s="168">
        <v>-3817339</v>
      </c>
      <c r="M145" s="168">
        <v>-4401485</v>
      </c>
    </row>
    <row r="146" spans="1:13" x14ac:dyDescent="0.2">
      <c r="B146" s="212" t="s">
        <v>736</v>
      </c>
      <c r="C146" s="105" t="s">
        <v>687</v>
      </c>
      <c r="D146" s="165">
        <v>-1938769</v>
      </c>
      <c r="E146" s="165">
        <v>-2405315</v>
      </c>
      <c r="F146" s="165">
        <v>-2433652</v>
      </c>
      <c r="G146" s="165">
        <v>-2165184.3101882506</v>
      </c>
      <c r="H146" s="165">
        <v>-1820279</v>
      </c>
      <c r="I146" s="165">
        <v>-1955310</v>
      </c>
      <c r="J146" s="165">
        <v>-1789022</v>
      </c>
      <c r="K146" s="165">
        <v>-1644806</v>
      </c>
      <c r="L146" s="168">
        <v>-1227010</v>
      </c>
      <c r="M146" s="168">
        <v>-941068</v>
      </c>
    </row>
    <row r="147" spans="1:13" x14ac:dyDescent="0.2">
      <c r="B147" s="212" t="s">
        <v>737</v>
      </c>
      <c r="C147" s="105" t="s">
        <v>687</v>
      </c>
      <c r="D147" s="165">
        <v>-19325</v>
      </c>
      <c r="E147" s="165">
        <v>-31215</v>
      </c>
      <c r="F147" s="165">
        <v>-528214</v>
      </c>
      <c r="G147" s="165">
        <v>-351177</v>
      </c>
      <c r="H147" s="165">
        <v>-162839</v>
      </c>
      <c r="I147" s="165">
        <v>-223706</v>
      </c>
      <c r="J147" s="165">
        <v>-255988</v>
      </c>
      <c r="K147" s="165">
        <v>-267643</v>
      </c>
      <c r="L147" s="168">
        <v>-70558</v>
      </c>
      <c r="M147" s="168">
        <v>-156395</v>
      </c>
    </row>
    <row r="148" spans="1:13" x14ac:dyDescent="0.2">
      <c r="B148" s="212" t="s">
        <v>738</v>
      </c>
      <c r="C148" s="105" t="s">
        <v>687</v>
      </c>
      <c r="D148" s="165">
        <v>-3018</v>
      </c>
      <c r="E148" s="165">
        <v>-83033</v>
      </c>
      <c r="F148" s="165">
        <v>-108389</v>
      </c>
      <c r="G148" s="165">
        <v>-57963</v>
      </c>
      <c r="H148" s="165">
        <v>-59556</v>
      </c>
      <c r="I148" s="165">
        <v>-91986</v>
      </c>
      <c r="J148" s="165">
        <v>-29186</v>
      </c>
      <c r="K148" s="165">
        <v>-45311</v>
      </c>
      <c r="L148" s="168">
        <v>-65692</v>
      </c>
      <c r="M148" s="168">
        <v>-9437</v>
      </c>
    </row>
    <row r="149" spans="1:13" x14ac:dyDescent="0.2">
      <c r="B149" s="212" t="s">
        <v>739</v>
      </c>
      <c r="C149" s="105" t="s">
        <v>687</v>
      </c>
      <c r="D149" s="165">
        <v>-50433</v>
      </c>
      <c r="E149" s="165">
        <v>76761</v>
      </c>
      <c r="F149" s="165">
        <v>-251657</v>
      </c>
      <c r="G149" s="165">
        <v>-184627</v>
      </c>
      <c r="H149" s="165">
        <v>-209269</v>
      </c>
      <c r="I149" s="165">
        <v>-8931</v>
      </c>
      <c r="J149" s="165">
        <v>39612</v>
      </c>
      <c r="K149" s="165">
        <v>241286</v>
      </c>
      <c r="L149" s="168">
        <v>13593</v>
      </c>
      <c r="M149" s="168">
        <v>-87576</v>
      </c>
    </row>
    <row r="150" spans="1:13" x14ac:dyDescent="0.2">
      <c r="B150" s="217"/>
      <c r="D150" s="165"/>
      <c r="E150" s="165"/>
      <c r="F150" s="165"/>
      <c r="G150" s="165"/>
      <c r="H150" s="165"/>
      <c r="I150" s="165"/>
      <c r="J150" s="165"/>
      <c r="K150" s="165"/>
      <c r="L150" s="168"/>
      <c r="M150" s="168"/>
    </row>
    <row r="151" spans="1:13" x14ac:dyDescent="0.2">
      <c r="A151" s="126"/>
      <c r="B151" s="126" t="s">
        <v>740</v>
      </c>
      <c r="C151" s="218" t="s">
        <v>687</v>
      </c>
      <c r="D151" s="210">
        <v>1150826</v>
      </c>
      <c r="E151" s="210">
        <v>1397388</v>
      </c>
      <c r="F151" s="210">
        <v>1319850</v>
      </c>
      <c r="G151" s="210">
        <v>1672100.6898117494</v>
      </c>
      <c r="H151" s="210">
        <v>980884</v>
      </c>
      <c r="I151" s="210">
        <v>1666740</v>
      </c>
      <c r="J151" s="210">
        <v>2087446.2937301714</v>
      </c>
      <c r="K151" s="210">
        <v>2826667</v>
      </c>
      <c r="L151" s="211">
        <v>-494697</v>
      </c>
      <c r="M151" s="211">
        <v>-184099</v>
      </c>
    </row>
    <row r="152" spans="1:13" x14ac:dyDescent="0.2">
      <c r="B152" s="217"/>
      <c r="D152" s="165"/>
      <c r="E152" s="165"/>
      <c r="F152" s="165"/>
      <c r="G152" s="165"/>
      <c r="H152" s="165"/>
      <c r="I152" s="165"/>
      <c r="J152" s="165"/>
      <c r="K152" s="165"/>
      <c r="L152" s="168"/>
      <c r="M152" s="168"/>
    </row>
    <row r="153" spans="1:13" x14ac:dyDescent="0.2">
      <c r="A153" s="126" t="s">
        <v>741</v>
      </c>
      <c r="D153" s="210"/>
      <c r="E153" s="210"/>
      <c r="F153" s="210"/>
      <c r="G153" s="210"/>
      <c r="H153" s="210"/>
      <c r="I153" s="210"/>
      <c r="J153" s="210"/>
      <c r="K153" s="210"/>
      <c r="L153" s="211"/>
      <c r="M153" s="211"/>
    </row>
    <row r="154" spans="1:13" x14ac:dyDescent="0.2">
      <c r="A154" s="126"/>
      <c r="B154" s="216" t="s">
        <v>742</v>
      </c>
      <c r="D154" s="210"/>
      <c r="E154" s="210"/>
      <c r="F154" s="210"/>
      <c r="G154" s="210"/>
      <c r="H154" s="210"/>
      <c r="I154" s="165">
        <v>6503</v>
      </c>
      <c r="J154" s="165">
        <v>69724</v>
      </c>
      <c r="K154" s="165">
        <v>0</v>
      </c>
      <c r="L154" s="168"/>
      <c r="M154" s="168">
        <v>752</v>
      </c>
    </row>
    <row r="155" spans="1:13" x14ac:dyDescent="0.2">
      <c r="A155" s="126"/>
      <c r="B155" s="216" t="s">
        <v>743</v>
      </c>
      <c r="D155" s="210"/>
      <c r="E155" s="210"/>
      <c r="F155" s="210"/>
      <c r="G155" s="210"/>
      <c r="H155" s="210"/>
      <c r="I155" s="165"/>
      <c r="J155" s="165"/>
      <c r="K155" s="165"/>
      <c r="L155" s="168"/>
      <c r="M155" s="168"/>
    </row>
    <row r="156" spans="1:13" x14ac:dyDescent="0.2">
      <c r="A156" s="126"/>
      <c r="B156" s="216" t="s">
        <v>744</v>
      </c>
      <c r="D156" s="210"/>
      <c r="E156" s="210"/>
      <c r="F156" s="210"/>
      <c r="G156" s="210"/>
      <c r="H156" s="210"/>
      <c r="I156" s="165"/>
      <c r="J156" s="165">
        <v>-2</v>
      </c>
      <c r="K156" s="165">
        <v>-294105</v>
      </c>
      <c r="L156" s="168"/>
      <c r="M156" s="168"/>
    </row>
    <row r="157" spans="1:13" x14ac:dyDescent="0.2">
      <c r="B157" s="216" t="s">
        <v>745</v>
      </c>
      <c r="C157" s="105" t="s">
        <v>687</v>
      </c>
      <c r="D157" s="165">
        <v>-3223</v>
      </c>
      <c r="E157" s="165">
        <v>-5517</v>
      </c>
      <c r="F157" s="165"/>
      <c r="G157" s="165"/>
      <c r="H157" s="165"/>
      <c r="I157" s="165"/>
      <c r="J157" s="165"/>
      <c r="K157" s="165"/>
      <c r="L157" s="168"/>
      <c r="M157" s="168"/>
    </row>
    <row r="158" spans="1:13" x14ac:dyDescent="0.2">
      <c r="B158" s="216" t="s">
        <v>746</v>
      </c>
      <c r="C158" s="105" t="s">
        <v>687</v>
      </c>
      <c r="D158" s="165"/>
      <c r="E158" s="165">
        <v>-497</v>
      </c>
      <c r="F158" s="165"/>
      <c r="G158" s="165"/>
      <c r="H158" s="165"/>
      <c r="I158" s="165"/>
      <c r="J158" s="165"/>
      <c r="K158" s="165"/>
      <c r="L158" s="168"/>
      <c r="M158" s="168"/>
    </row>
    <row r="159" spans="1:13" x14ac:dyDescent="0.2">
      <c r="B159" s="216" t="s">
        <v>747</v>
      </c>
      <c r="C159" s="105" t="s">
        <v>687</v>
      </c>
      <c r="D159" s="165">
        <v>386379</v>
      </c>
      <c r="E159" s="165">
        <v>270485</v>
      </c>
      <c r="F159" s="165">
        <v>518</v>
      </c>
      <c r="G159" s="165">
        <v>519460</v>
      </c>
      <c r="H159" s="165">
        <v>2969731</v>
      </c>
      <c r="I159" s="165">
        <v>3248693</v>
      </c>
      <c r="J159" s="165">
        <v>3645608</v>
      </c>
      <c r="K159" s="165">
        <v>4063582</v>
      </c>
      <c r="L159" s="168">
        <v>1464012</v>
      </c>
      <c r="M159" s="168">
        <v>35</v>
      </c>
    </row>
    <row r="160" spans="1:13" x14ac:dyDescent="0.2">
      <c r="B160" s="216" t="s">
        <v>748</v>
      </c>
      <c r="C160" s="105" t="s">
        <v>687</v>
      </c>
      <c r="D160" s="165"/>
      <c r="E160" s="165">
        <v>-440801</v>
      </c>
      <c r="F160" s="165" t="s">
        <v>58</v>
      </c>
      <c r="G160" s="165">
        <v>-704115</v>
      </c>
      <c r="H160" s="165">
        <v>-2706733</v>
      </c>
      <c r="I160" s="165">
        <v>-3106411</v>
      </c>
      <c r="J160" s="165">
        <v>-3548239</v>
      </c>
      <c r="K160" s="165">
        <v>-4131890</v>
      </c>
      <c r="L160" s="168">
        <v>-1140940</v>
      </c>
      <c r="M160" s="168">
        <v>-208</v>
      </c>
    </row>
    <row r="161" spans="1:13" x14ac:dyDescent="0.2">
      <c r="B161" s="216" t="s">
        <v>749</v>
      </c>
      <c r="C161" s="105" t="s">
        <v>687</v>
      </c>
      <c r="D161" s="165">
        <v>73429</v>
      </c>
      <c r="E161" s="165">
        <v>225196</v>
      </c>
      <c r="F161" s="165">
        <v>524370</v>
      </c>
      <c r="G161" s="165">
        <v>57117.137986405163</v>
      </c>
      <c r="H161" s="165">
        <v>76084</v>
      </c>
      <c r="I161" s="165">
        <v>51316</v>
      </c>
      <c r="J161" s="165">
        <v>223753</v>
      </c>
      <c r="K161" s="165">
        <v>50322</v>
      </c>
      <c r="L161" s="168">
        <v>75566</v>
      </c>
      <c r="M161" s="168">
        <v>105000</v>
      </c>
    </row>
    <row r="162" spans="1:13" x14ac:dyDescent="0.2">
      <c r="B162" s="212" t="s">
        <v>750</v>
      </c>
      <c r="C162" s="105" t="s">
        <v>687</v>
      </c>
      <c r="D162" s="165">
        <v>-2389364</v>
      </c>
      <c r="E162" s="165">
        <v>-1381786</v>
      </c>
      <c r="F162" s="165">
        <v>-474656</v>
      </c>
      <c r="G162" s="165">
        <v>-1569749.3955385466</v>
      </c>
      <c r="H162" s="165">
        <v>-694370</v>
      </c>
      <c r="I162" s="165">
        <v>-403666</v>
      </c>
      <c r="J162" s="165">
        <v>-660707</v>
      </c>
      <c r="K162" s="165">
        <v>-1276621</v>
      </c>
      <c r="L162" s="168">
        <v>-324264</v>
      </c>
      <c r="M162" s="168">
        <v>-587245</v>
      </c>
    </row>
    <row r="163" spans="1:13" x14ac:dyDescent="0.2">
      <c r="B163" s="212" t="s">
        <v>751</v>
      </c>
      <c r="C163" s="105" t="s">
        <v>687</v>
      </c>
      <c r="F163" s="165">
        <v>564266</v>
      </c>
      <c r="G163" s="165">
        <v>91</v>
      </c>
      <c r="H163" s="165">
        <v>1</v>
      </c>
      <c r="I163" s="165">
        <v>0</v>
      </c>
      <c r="J163" s="165">
        <v>0</v>
      </c>
      <c r="K163" s="165"/>
      <c r="L163" s="168"/>
      <c r="M163" s="168"/>
    </row>
    <row r="164" spans="1:13" x14ac:dyDescent="0.2">
      <c r="B164" s="212" t="s">
        <v>752</v>
      </c>
      <c r="C164" s="105" t="s">
        <v>687</v>
      </c>
      <c r="D164" s="165">
        <v>-59166</v>
      </c>
      <c r="E164" s="165">
        <v>-43484</v>
      </c>
      <c r="F164" s="165">
        <v>-1440445</v>
      </c>
      <c r="G164" s="165">
        <v>-52449</v>
      </c>
      <c r="H164" s="165">
        <v>-88587</v>
      </c>
      <c r="I164" s="165">
        <v>-87318</v>
      </c>
      <c r="J164" s="165">
        <v>-96206</v>
      </c>
      <c r="K164" s="165">
        <v>-140173</v>
      </c>
      <c r="L164" s="168">
        <v>-75433</v>
      </c>
      <c r="M164" s="168">
        <v>-88518</v>
      </c>
    </row>
    <row r="165" spans="1:13" x14ac:dyDescent="0.2">
      <c r="B165" s="212" t="s">
        <v>753</v>
      </c>
      <c r="C165" s="105"/>
      <c r="D165" s="165"/>
      <c r="E165" s="165"/>
      <c r="F165" s="165"/>
      <c r="G165" s="165"/>
      <c r="H165" s="165"/>
      <c r="I165" s="165"/>
      <c r="J165" s="165"/>
      <c r="K165" s="165"/>
      <c r="L165" s="168"/>
      <c r="M165" s="168"/>
    </row>
    <row r="166" spans="1:13" x14ac:dyDescent="0.2">
      <c r="B166" s="212" t="s">
        <v>754</v>
      </c>
      <c r="C166" s="105" t="s">
        <v>687</v>
      </c>
      <c r="D166" s="165">
        <v>38035</v>
      </c>
      <c r="E166" s="165">
        <v>22144</v>
      </c>
      <c r="F166" s="165">
        <v>-55759</v>
      </c>
      <c r="G166" s="165"/>
      <c r="H166" s="165"/>
      <c r="I166" s="165"/>
      <c r="J166" s="165"/>
      <c r="K166" s="165"/>
      <c r="L166" s="168"/>
      <c r="M166" s="168"/>
    </row>
    <row r="167" spans="1:13" x14ac:dyDescent="0.2">
      <c r="B167" s="212" t="s">
        <v>755</v>
      </c>
      <c r="C167" s="105" t="s">
        <v>687</v>
      </c>
      <c r="D167" s="165">
        <v>52986</v>
      </c>
      <c r="E167" s="165">
        <v>11310</v>
      </c>
      <c r="F167" s="165">
        <v>11589</v>
      </c>
      <c r="G167" s="165">
        <v>43374</v>
      </c>
      <c r="H167" s="165">
        <v>11242</v>
      </c>
      <c r="I167" s="165">
        <v>12684</v>
      </c>
      <c r="J167" s="165">
        <v>10175</v>
      </c>
      <c r="K167" s="165">
        <v>17822</v>
      </c>
      <c r="L167" s="168">
        <v>36859</v>
      </c>
      <c r="M167" s="168">
        <v>9056</v>
      </c>
    </row>
    <row r="168" spans="1:13" x14ac:dyDescent="0.2">
      <c r="B168" s="212" t="s">
        <v>756</v>
      </c>
      <c r="C168" s="105" t="s">
        <v>687</v>
      </c>
      <c r="D168" s="165">
        <v>351</v>
      </c>
      <c r="E168" s="165" t="s">
        <v>58</v>
      </c>
      <c r="F168" s="165" t="s">
        <v>58</v>
      </c>
      <c r="G168" s="165"/>
      <c r="H168" s="165"/>
      <c r="I168" s="165"/>
      <c r="J168" s="165"/>
      <c r="K168" s="165"/>
      <c r="L168" s="168"/>
      <c r="M168" s="168"/>
    </row>
    <row r="169" spans="1:13" x14ac:dyDescent="0.2">
      <c r="B169" s="212" t="s">
        <v>739</v>
      </c>
      <c r="C169" s="105" t="s">
        <v>687</v>
      </c>
      <c r="D169" s="165">
        <v>27143</v>
      </c>
      <c r="E169" s="165">
        <v>75448</v>
      </c>
      <c r="F169" s="165">
        <v>-17399</v>
      </c>
      <c r="G169" s="165">
        <v>10576.157122302588</v>
      </c>
      <c r="H169" s="165">
        <v>843</v>
      </c>
      <c r="I169" s="165">
        <v>-9223</v>
      </c>
      <c r="J169" s="165">
        <v>-2476</v>
      </c>
      <c r="K169" s="165">
        <v>-2249</v>
      </c>
      <c r="L169" s="168">
        <v>-2192</v>
      </c>
      <c r="M169" s="168">
        <v>18475</v>
      </c>
    </row>
    <row r="170" spans="1:13" x14ac:dyDescent="0.2">
      <c r="B170" s="219"/>
      <c r="D170" s="165"/>
      <c r="E170" s="165"/>
      <c r="F170" s="165"/>
      <c r="G170" s="165"/>
      <c r="H170" s="165"/>
      <c r="I170" s="165"/>
      <c r="J170" s="165"/>
      <c r="K170" s="165"/>
      <c r="L170" s="168"/>
      <c r="M170" s="168"/>
    </row>
    <row r="171" spans="1:13" x14ac:dyDescent="0.2">
      <c r="A171" s="126"/>
      <c r="B171" s="126" t="s">
        <v>757</v>
      </c>
      <c r="C171" s="220"/>
      <c r="D171" s="210">
        <v>-1873430</v>
      </c>
      <c r="E171" s="210">
        <v>-1267502</v>
      </c>
      <c r="F171" s="210">
        <v>-887516</v>
      </c>
      <c r="G171" s="210">
        <v>-1695695.1004298388</v>
      </c>
      <c r="H171" s="210">
        <v>-431789</v>
      </c>
      <c r="I171" s="210">
        <v>-287422</v>
      </c>
      <c r="J171" s="210">
        <v>-358370</v>
      </c>
      <c r="K171" s="210">
        <v>-1713312</v>
      </c>
      <c r="L171" s="211">
        <v>33608</v>
      </c>
      <c r="M171" s="211">
        <v>-542653</v>
      </c>
    </row>
    <row r="172" spans="1:13" x14ac:dyDescent="0.2">
      <c r="B172" s="219"/>
      <c r="D172" s="165"/>
      <c r="E172" s="165"/>
      <c r="F172" s="165"/>
      <c r="G172" s="165"/>
      <c r="H172" s="165"/>
      <c r="I172" s="165"/>
      <c r="J172" s="165"/>
      <c r="K172" s="165"/>
      <c r="L172" s="168"/>
      <c r="M172" s="168"/>
    </row>
    <row r="173" spans="1:13" x14ac:dyDescent="0.2">
      <c r="A173" s="126" t="s">
        <v>758</v>
      </c>
      <c r="D173" s="210"/>
      <c r="E173" s="210"/>
      <c r="F173" s="210"/>
      <c r="G173" s="210"/>
      <c r="H173" s="210"/>
      <c r="I173" s="210"/>
      <c r="J173" s="210"/>
      <c r="K173" s="210"/>
      <c r="L173" s="211"/>
      <c r="M173" s="211"/>
    </row>
    <row r="174" spans="1:13" x14ac:dyDescent="0.2">
      <c r="B174" s="212" t="s">
        <v>759</v>
      </c>
      <c r="C174" s="105" t="s">
        <v>687</v>
      </c>
      <c r="D174" s="165">
        <v>83512</v>
      </c>
      <c r="E174" s="165">
        <v>888949</v>
      </c>
      <c r="F174" s="165">
        <v>156321</v>
      </c>
      <c r="G174" s="165"/>
      <c r="H174" s="165">
        <v>608496</v>
      </c>
      <c r="I174" s="165"/>
      <c r="J174" s="165">
        <v>0</v>
      </c>
      <c r="K174" s="165"/>
      <c r="L174" s="168"/>
      <c r="M174" s="168"/>
    </row>
    <row r="175" spans="1:13" x14ac:dyDescent="0.2">
      <c r="A175" s="124"/>
      <c r="B175" s="221" t="s">
        <v>760</v>
      </c>
      <c r="C175" s="222" t="s">
        <v>687</v>
      </c>
      <c r="D175" s="168">
        <v>-203</v>
      </c>
      <c r="E175" s="168" t="s">
        <v>58</v>
      </c>
      <c r="F175" s="168">
        <v>4661</v>
      </c>
      <c r="G175" s="168"/>
      <c r="H175" s="168"/>
      <c r="I175" s="168"/>
      <c r="J175" s="168"/>
      <c r="K175" s="168"/>
      <c r="L175" s="168"/>
      <c r="M175" s="168"/>
    </row>
    <row r="176" spans="1:13" x14ac:dyDescent="0.2">
      <c r="A176" s="124"/>
      <c r="B176" s="221" t="s">
        <v>761</v>
      </c>
      <c r="C176" s="222"/>
      <c r="D176" s="168"/>
      <c r="E176" s="168"/>
      <c r="F176" s="168"/>
      <c r="G176" s="168"/>
      <c r="H176" s="168"/>
      <c r="I176" s="168"/>
      <c r="J176" s="168"/>
      <c r="K176" s="168">
        <v>-294105</v>
      </c>
      <c r="L176" s="168">
        <v>-3225</v>
      </c>
      <c r="M176" s="168"/>
    </row>
    <row r="177" spans="1:13" x14ac:dyDescent="0.2">
      <c r="B177" s="212" t="s">
        <v>762</v>
      </c>
      <c r="C177" s="105" t="s">
        <v>687</v>
      </c>
      <c r="D177" s="165">
        <v>2185663</v>
      </c>
      <c r="E177" s="165">
        <v>2043518</v>
      </c>
      <c r="F177" s="165">
        <v>1042820</v>
      </c>
      <c r="G177" s="165">
        <v>1791484</v>
      </c>
      <c r="H177" s="165">
        <v>1820016</v>
      </c>
      <c r="I177" s="165">
        <v>1305384</v>
      </c>
      <c r="J177" s="165">
        <v>779062</v>
      </c>
      <c r="K177" s="165">
        <v>1781728</v>
      </c>
      <c r="L177" s="168">
        <v>1425184</v>
      </c>
      <c r="M177" s="168">
        <v>0</v>
      </c>
    </row>
    <row r="178" spans="1:13" x14ac:dyDescent="0.2">
      <c r="B178" s="212" t="s">
        <v>763</v>
      </c>
      <c r="C178" s="105" t="s">
        <v>687</v>
      </c>
      <c r="D178" s="165">
        <v>152000</v>
      </c>
      <c r="E178" s="165">
        <v>1101159</v>
      </c>
      <c r="F178" s="165">
        <v>603151</v>
      </c>
      <c r="G178" s="165">
        <v>205000</v>
      </c>
      <c r="H178" s="165">
        <v>279593</v>
      </c>
      <c r="I178" s="165">
        <v>132280</v>
      </c>
      <c r="J178" s="165">
        <v>293000</v>
      </c>
      <c r="K178" s="165">
        <v>93000</v>
      </c>
      <c r="L178" s="168">
        <v>560296</v>
      </c>
      <c r="M178" s="168">
        <v>661609</v>
      </c>
    </row>
    <row r="179" spans="1:13" x14ac:dyDescent="0.2">
      <c r="B179" s="212" t="s">
        <v>764</v>
      </c>
      <c r="C179" s="105"/>
      <c r="D179" s="165"/>
      <c r="E179" s="165"/>
      <c r="F179" s="165"/>
      <c r="G179" s="165"/>
      <c r="H179" s="165"/>
      <c r="I179" s="165"/>
      <c r="J179" s="165"/>
      <c r="K179" s="165"/>
      <c r="L179" s="168">
        <v>373125</v>
      </c>
      <c r="M179" s="168">
        <v>130102</v>
      </c>
    </row>
    <row r="180" spans="1:13" x14ac:dyDescent="0.2">
      <c r="B180" s="212" t="s">
        <v>765</v>
      </c>
      <c r="C180" s="105" t="s">
        <v>687</v>
      </c>
      <c r="D180" s="165">
        <v>-539332</v>
      </c>
      <c r="E180" s="165">
        <v>-1952013</v>
      </c>
      <c r="F180" s="165">
        <v>-2315120</v>
      </c>
      <c r="G180" s="165">
        <v>-1263792.8870884669</v>
      </c>
      <c r="H180" s="165">
        <v>-2121130</v>
      </c>
      <c r="I180" s="165">
        <v>-1829191</v>
      </c>
      <c r="J180" s="165">
        <v>-1738349</v>
      </c>
      <c r="K180" s="165">
        <v>-1860455</v>
      </c>
      <c r="L180" s="168">
        <v>-793712</v>
      </c>
      <c r="M180" s="168">
        <v>-463047.50696999999</v>
      </c>
    </row>
    <row r="181" spans="1:13" x14ac:dyDescent="0.2">
      <c r="B181" s="212" t="s">
        <v>766</v>
      </c>
      <c r="C181" s="105" t="s">
        <v>687</v>
      </c>
      <c r="D181" s="165">
        <v>-292931</v>
      </c>
      <c r="E181" s="165">
        <v>-423105</v>
      </c>
      <c r="F181" s="165">
        <v>-394131</v>
      </c>
      <c r="G181" s="165">
        <v>-342613.77571285912</v>
      </c>
      <c r="H181" s="165">
        <v>-314580</v>
      </c>
      <c r="I181" s="165">
        <v>-344901</v>
      </c>
      <c r="J181" s="165">
        <v>-385649.69692387799</v>
      </c>
      <c r="K181" s="165">
        <v>-398992</v>
      </c>
      <c r="L181" s="168">
        <v>-122062</v>
      </c>
      <c r="M181" s="168">
        <v>-103366.06574912101</v>
      </c>
    </row>
    <row r="182" spans="1:13" x14ac:dyDescent="0.2">
      <c r="B182" s="212" t="s">
        <v>767</v>
      </c>
      <c r="C182" s="105"/>
      <c r="D182" s="165"/>
      <c r="E182" s="165"/>
      <c r="F182" s="165"/>
      <c r="G182" s="165"/>
      <c r="H182" s="165"/>
      <c r="I182" s="165"/>
      <c r="J182" s="165"/>
      <c r="K182" s="165"/>
      <c r="L182" s="168"/>
      <c r="M182" s="168"/>
    </row>
    <row r="183" spans="1:13" x14ac:dyDescent="0.2">
      <c r="B183" s="212" t="s">
        <v>768</v>
      </c>
      <c r="C183" s="105" t="s">
        <v>687</v>
      </c>
      <c r="D183" s="165">
        <v>-124827</v>
      </c>
      <c r="E183" s="165">
        <v>-29694</v>
      </c>
      <c r="F183" s="165">
        <v>-35362</v>
      </c>
      <c r="G183" s="165">
        <v>-35032</v>
      </c>
      <c r="H183" s="165">
        <v>-41223</v>
      </c>
      <c r="I183" s="165">
        <v>-66642</v>
      </c>
      <c r="J183" s="165">
        <v>-72620</v>
      </c>
      <c r="K183" s="165">
        <v>-55116</v>
      </c>
      <c r="L183" s="168">
        <v>-571</v>
      </c>
      <c r="M183" s="168">
        <v>0</v>
      </c>
    </row>
    <row r="184" spans="1:13" x14ac:dyDescent="0.2">
      <c r="B184" s="212" t="s">
        <v>769</v>
      </c>
      <c r="C184" s="105" t="s">
        <v>687</v>
      </c>
      <c r="D184" s="165">
        <v>-227607</v>
      </c>
      <c r="E184" s="165">
        <v>-361006</v>
      </c>
      <c r="F184" s="165">
        <v>-368789</v>
      </c>
      <c r="G184" s="165">
        <v>-383648.03690614528</v>
      </c>
      <c r="H184" s="165">
        <v>-398288</v>
      </c>
      <c r="I184" s="165">
        <v>-389724</v>
      </c>
      <c r="J184" s="165">
        <v>-542221.596806293</v>
      </c>
      <c r="K184" s="165">
        <v>-550877</v>
      </c>
      <c r="L184" s="168">
        <v>-210418</v>
      </c>
      <c r="M184" s="168">
        <v>-104621</v>
      </c>
    </row>
    <row r="185" spans="1:13" x14ac:dyDescent="0.2">
      <c r="B185" s="212" t="s">
        <v>739</v>
      </c>
      <c r="C185" s="105" t="s">
        <v>687</v>
      </c>
      <c r="D185" s="165">
        <v>-231079</v>
      </c>
      <c r="E185" s="165">
        <v>-62013</v>
      </c>
      <c r="F185" s="165">
        <v>-13777</v>
      </c>
      <c r="G185" s="165">
        <v>-99757.38514350538</v>
      </c>
      <c r="H185" s="165">
        <v>-229163</v>
      </c>
      <c r="I185" s="165">
        <v>13706</v>
      </c>
      <c r="J185" s="165">
        <v>44053</v>
      </c>
      <c r="K185" s="165">
        <v>-58704</v>
      </c>
      <c r="L185" s="168">
        <v>-107788</v>
      </c>
      <c r="M185" s="168">
        <v>-11034</v>
      </c>
    </row>
    <row r="186" spans="1:13" x14ac:dyDescent="0.2">
      <c r="B186" s="219"/>
      <c r="D186" s="165"/>
      <c r="E186" s="165"/>
      <c r="F186" s="165"/>
      <c r="G186" s="165"/>
      <c r="H186" s="165"/>
      <c r="I186" s="165"/>
      <c r="J186" s="165"/>
      <c r="K186" s="165"/>
      <c r="L186" s="104"/>
      <c r="M186" s="104"/>
    </row>
    <row r="187" spans="1:13" x14ac:dyDescent="0.2">
      <c r="A187" s="126"/>
      <c r="B187" s="126" t="s">
        <v>770</v>
      </c>
      <c r="C187" s="218" t="s">
        <v>687</v>
      </c>
      <c r="D187" s="210">
        <v>1005196</v>
      </c>
      <c r="E187" s="210">
        <v>1205795</v>
      </c>
      <c r="F187" s="210">
        <v>-1320226</v>
      </c>
      <c r="G187" s="210">
        <v>-128360.08485097668</v>
      </c>
      <c r="H187" s="210">
        <v>-396279</v>
      </c>
      <c r="I187" s="210">
        <v>-1179088</v>
      </c>
      <c r="J187" s="210">
        <v>-1622725.2937301709</v>
      </c>
      <c r="K187" s="210">
        <v>-1343521</v>
      </c>
      <c r="L187" s="211">
        <v>1120829</v>
      </c>
      <c r="M187" s="211">
        <v>109642.427280879</v>
      </c>
    </row>
    <row r="188" spans="1:13" x14ac:dyDescent="0.2">
      <c r="B188" s="219"/>
      <c r="D188" s="165"/>
      <c r="E188" s="165"/>
      <c r="F188" s="165"/>
      <c r="G188" s="165"/>
      <c r="H188" s="165"/>
      <c r="I188" s="165"/>
      <c r="J188" s="165"/>
      <c r="K188" s="165"/>
      <c r="L188" s="104"/>
      <c r="M188" s="104"/>
    </row>
    <row r="189" spans="1:13" x14ac:dyDescent="0.2">
      <c r="B189" s="216" t="s">
        <v>771</v>
      </c>
      <c r="C189" s="105" t="s">
        <v>687</v>
      </c>
      <c r="D189" s="165">
        <v>282592</v>
      </c>
      <c r="E189" s="165">
        <v>1335681</v>
      </c>
      <c r="F189" s="165">
        <v>-887892</v>
      </c>
      <c r="G189" s="165">
        <v>-151954.49546906605</v>
      </c>
      <c r="H189" s="165">
        <v>152816</v>
      </c>
      <c r="I189" s="165">
        <v>200230</v>
      </c>
      <c r="J189" s="165">
        <v>106351.00000000047</v>
      </c>
      <c r="K189" s="165">
        <v>63939</v>
      </c>
      <c r="L189" s="168">
        <v>659740</v>
      </c>
      <c r="M189" s="168">
        <v>-617109.572719121</v>
      </c>
    </row>
    <row r="190" spans="1:13" x14ac:dyDescent="0.2">
      <c r="B190" s="216" t="s">
        <v>772</v>
      </c>
      <c r="C190" s="105" t="s">
        <v>687</v>
      </c>
      <c r="D190" s="165">
        <v>-6736</v>
      </c>
      <c r="E190" s="165">
        <v>-1041</v>
      </c>
      <c r="F190" s="165">
        <v>-107615</v>
      </c>
      <c r="G190" s="165">
        <v>-83945.018336257694</v>
      </c>
      <c r="H190" s="165">
        <v>43014</v>
      </c>
      <c r="I190" s="165">
        <v>-7553</v>
      </c>
      <c r="J190" s="165">
        <v>-166713</v>
      </c>
      <c r="K190" s="165">
        <v>-73002</v>
      </c>
      <c r="L190" s="168">
        <v>-36478</v>
      </c>
      <c r="M190" s="168">
        <v>-31896</v>
      </c>
    </row>
    <row r="191" spans="1:13" x14ac:dyDescent="0.2">
      <c r="B191" s="216" t="s">
        <v>773</v>
      </c>
      <c r="C191" s="105" t="s">
        <v>687</v>
      </c>
      <c r="D191" s="201">
        <v>275856</v>
      </c>
      <c r="E191" s="165">
        <v>1334640</v>
      </c>
      <c r="F191" s="165">
        <v>-995507</v>
      </c>
      <c r="G191" s="165">
        <v>-235899.51380532375</v>
      </c>
      <c r="H191" s="165">
        <v>195830</v>
      </c>
      <c r="I191" s="165">
        <v>192677</v>
      </c>
      <c r="J191" s="165">
        <v>-60361.999999999534</v>
      </c>
      <c r="K191" s="165">
        <v>-9063</v>
      </c>
      <c r="L191" s="168">
        <v>623262</v>
      </c>
      <c r="M191" s="168">
        <v>-649005.572719121</v>
      </c>
    </row>
    <row r="192" spans="1:13" x14ac:dyDescent="0.2">
      <c r="B192" s="217"/>
      <c r="D192" s="165"/>
      <c r="E192" s="165"/>
      <c r="F192" s="165"/>
      <c r="G192" s="165"/>
      <c r="H192" s="165"/>
      <c r="I192" s="165"/>
      <c r="J192" s="165"/>
      <c r="K192" s="165"/>
      <c r="L192" s="168"/>
      <c r="M192" s="168"/>
    </row>
    <row r="193" spans="1:13" x14ac:dyDescent="0.2">
      <c r="A193" s="126" t="s">
        <v>774</v>
      </c>
      <c r="B193" s="126"/>
      <c r="C193" s="218" t="s">
        <v>687</v>
      </c>
      <c r="D193" s="210">
        <v>374407</v>
      </c>
      <c r="E193" s="210">
        <v>650263</v>
      </c>
      <c r="F193" s="210">
        <v>1984903</v>
      </c>
      <c r="G193" s="210">
        <v>989396</v>
      </c>
      <c r="H193" s="210">
        <v>753497</v>
      </c>
      <c r="I193" s="210">
        <v>949327</v>
      </c>
      <c r="J193" s="210">
        <v>1142004</v>
      </c>
      <c r="K193" s="210">
        <v>1081642</v>
      </c>
      <c r="L193" s="211">
        <v>1072579</v>
      </c>
      <c r="M193" s="211">
        <v>1695841</v>
      </c>
    </row>
    <row r="194" spans="1:13" x14ac:dyDescent="0.2">
      <c r="A194" s="223"/>
      <c r="D194" s="165"/>
      <c r="E194" s="165"/>
      <c r="F194" s="165"/>
      <c r="G194" s="165"/>
      <c r="H194" s="165"/>
      <c r="I194" s="165"/>
      <c r="J194" s="165"/>
      <c r="K194" s="165"/>
      <c r="L194" s="168"/>
      <c r="M194" s="168"/>
    </row>
    <row r="195" spans="1:13" x14ac:dyDescent="0.2">
      <c r="A195" s="126" t="s">
        <v>775</v>
      </c>
      <c r="C195" s="105" t="s">
        <v>687</v>
      </c>
      <c r="D195" s="210">
        <v>650263</v>
      </c>
      <c r="E195" s="210">
        <v>1984903</v>
      </c>
      <c r="F195" s="210">
        <v>989396</v>
      </c>
      <c r="G195" s="210">
        <v>753497.48619467625</v>
      </c>
      <c r="H195" s="210">
        <v>949327</v>
      </c>
      <c r="I195" s="210">
        <v>1142004</v>
      </c>
      <c r="J195" s="210">
        <v>1081642.0000000005</v>
      </c>
      <c r="K195" s="210">
        <v>1072579</v>
      </c>
      <c r="L195" s="211">
        <v>1695841</v>
      </c>
      <c r="M195" s="211">
        <v>1046835.427280879</v>
      </c>
    </row>
    <row r="197" spans="1:13" x14ac:dyDescent="0.2">
      <c r="D197" s="165"/>
      <c r="L197" s="104"/>
      <c r="M197" s="104"/>
    </row>
    <row r="198" spans="1:13" x14ac:dyDescent="0.2">
      <c r="L198" s="104"/>
      <c r="M198" s="104"/>
    </row>
    <row r="199" spans="1:13" x14ac:dyDescent="0.2">
      <c r="L199" s="104"/>
      <c r="M199" s="104"/>
    </row>
    <row r="209" spans="5:13" x14ac:dyDescent="0.2">
      <c r="E209" s="165"/>
      <c r="F209" s="165"/>
      <c r="G209" s="165"/>
      <c r="H209" s="165"/>
      <c r="I209" s="165"/>
      <c r="J209" s="165"/>
      <c r="K209" s="165"/>
    </row>
    <row r="212" spans="5:13" x14ac:dyDescent="0.2">
      <c r="L212" s="168"/>
      <c r="M212" s="168"/>
    </row>
  </sheetData>
  <mergeCells count="4">
    <mergeCell ref="A1:B1"/>
    <mergeCell ref="A55:B55"/>
    <mergeCell ref="A95:B95"/>
    <mergeCell ref="A138:B138"/>
  </mergeCells>
  <conditionalFormatting sqref="AD9:AD29">
    <cfRule type="expression" dxfId="1" priority="2">
      <formula>AD9&gt;P9</formula>
    </cfRule>
  </conditionalFormatting>
  <conditionalFormatting sqref="P9:P17">
    <cfRule type="expression" dxfId="0" priority="1">
      <formula>P9&gt;AD9</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9F6BD-E9B5-C641-8301-46A87C8B7F2F}">
  <dimension ref="A1:X89"/>
  <sheetViews>
    <sheetView zoomScale="65" zoomScaleNormal="96" workbookViewId="0">
      <pane xSplit="2" ySplit="2" topLeftCell="F3" activePane="bottomRight" state="frozen"/>
      <selection sqref="A1:B1"/>
      <selection pane="topRight" sqref="A1:B1"/>
      <selection pane="bottomLeft" sqref="A1:B1"/>
      <selection pane="bottomRight" sqref="A1:B1"/>
    </sheetView>
  </sheetViews>
  <sheetFormatPr baseColWidth="10" defaultColWidth="10.83203125" defaultRowHeight="16" x14ac:dyDescent="0.2"/>
  <cols>
    <col min="1" max="1" width="10.83203125" style="484"/>
    <col min="2" max="2" width="48.83203125" style="484" customWidth="1"/>
    <col min="3" max="3" width="12.1640625" style="492" bestFit="1" customWidth="1"/>
    <col min="4" max="4" width="11" style="492" bestFit="1" customWidth="1"/>
    <col min="5" max="5" width="11" style="492" customWidth="1"/>
    <col min="6" max="6" width="11" style="492" bestFit="1" customWidth="1"/>
    <col min="7" max="7" width="11.33203125" style="492" bestFit="1" customWidth="1"/>
    <col min="8" max="8" width="11.83203125" style="484" customWidth="1"/>
    <col min="9" max="10" width="11.83203125" style="484" bestFit="1" customWidth="1"/>
    <col min="11" max="11" width="11" style="484" bestFit="1" customWidth="1"/>
    <col min="12" max="13" width="11.83203125" style="484" bestFit="1" customWidth="1"/>
    <col min="14" max="16384" width="10.83203125" style="484"/>
  </cols>
  <sheetData>
    <row r="1" spans="1:13" x14ac:dyDescent="0.2">
      <c r="A1" s="1160" t="s">
        <v>343</v>
      </c>
      <c r="B1" s="1160"/>
      <c r="C1" s="505">
        <v>2017</v>
      </c>
      <c r="D1" s="505">
        <v>2018</v>
      </c>
      <c r="E1" s="505">
        <v>2019</v>
      </c>
      <c r="F1" s="505">
        <v>2020</v>
      </c>
      <c r="G1" s="505">
        <v>2021</v>
      </c>
      <c r="H1" s="498" t="s">
        <v>0</v>
      </c>
      <c r="I1" s="498" t="s">
        <v>1</v>
      </c>
      <c r="J1" s="498" t="s">
        <v>2</v>
      </c>
      <c r="K1" s="498" t="s">
        <v>3</v>
      </c>
      <c r="L1" s="498" t="s">
        <v>4</v>
      </c>
      <c r="M1" s="498" t="s">
        <v>5</v>
      </c>
    </row>
    <row r="2" spans="1:13" hidden="1" x14ac:dyDescent="0.2">
      <c r="A2" s="529"/>
      <c r="B2" s="529"/>
      <c r="C2" s="530">
        <v>2017</v>
      </c>
      <c r="D2" s="530">
        <v>2018</v>
      </c>
      <c r="E2" s="530">
        <v>2019</v>
      </c>
      <c r="F2" s="530">
        <v>2020</v>
      </c>
      <c r="G2" s="530">
        <v>2021</v>
      </c>
      <c r="H2" s="530">
        <v>2022</v>
      </c>
      <c r="I2" s="530">
        <v>2023</v>
      </c>
      <c r="J2" s="530">
        <v>2024</v>
      </c>
      <c r="K2" s="530">
        <v>2025</v>
      </c>
      <c r="L2" s="530">
        <v>2026</v>
      </c>
      <c r="M2" s="530">
        <v>2027</v>
      </c>
    </row>
    <row r="3" spans="1:13" x14ac:dyDescent="0.2">
      <c r="B3" s="501" t="s">
        <v>344</v>
      </c>
      <c r="C3" s="857">
        <v>18797972</v>
      </c>
      <c r="D3" s="857">
        <v>20078722</v>
      </c>
      <c r="E3" s="857">
        <v>21087806</v>
      </c>
      <c r="F3" s="857">
        <v>15650090</v>
      </c>
      <c r="G3" s="857">
        <v>13312434</v>
      </c>
      <c r="H3" s="857"/>
      <c r="I3" s="857"/>
      <c r="J3" s="857"/>
      <c r="K3" s="857"/>
      <c r="L3" s="857"/>
      <c r="M3" s="857"/>
    </row>
    <row r="4" spans="1:13" x14ac:dyDescent="0.2">
      <c r="B4" s="487" t="s">
        <v>345</v>
      </c>
      <c r="C4" s="518">
        <v>1142004</v>
      </c>
      <c r="D4" s="518">
        <v>1081642</v>
      </c>
      <c r="E4" s="518">
        <v>1072579</v>
      </c>
      <c r="F4" s="518">
        <v>1695841</v>
      </c>
      <c r="G4" s="518">
        <v>1046835</v>
      </c>
      <c r="H4" s="518"/>
      <c r="I4" s="518"/>
      <c r="J4" s="518"/>
      <c r="K4" s="518"/>
      <c r="L4" s="518"/>
      <c r="M4" s="518"/>
    </row>
    <row r="5" spans="1:13" x14ac:dyDescent="0.2">
      <c r="B5" s="487" t="s">
        <v>346</v>
      </c>
      <c r="C5" s="518">
        <v>559919</v>
      </c>
      <c r="D5" s="518">
        <v>383984</v>
      </c>
      <c r="E5" s="518">
        <v>499504</v>
      </c>
      <c r="F5" s="518">
        <v>50250</v>
      </c>
      <c r="G5" s="518">
        <v>101138</v>
      </c>
      <c r="H5" s="518"/>
      <c r="I5" s="518"/>
      <c r="J5" s="518"/>
      <c r="K5" s="518"/>
      <c r="L5" s="518"/>
      <c r="M5" s="518"/>
    </row>
    <row r="6" spans="1:13" x14ac:dyDescent="0.2">
      <c r="B6" s="487" t="s">
        <v>347</v>
      </c>
      <c r="C6" s="518">
        <v>221188</v>
      </c>
      <c r="D6" s="518">
        <v>290476</v>
      </c>
      <c r="E6" s="518">
        <v>313449</v>
      </c>
      <c r="F6" s="518">
        <v>155892</v>
      </c>
      <c r="G6" s="518">
        <v>108368</v>
      </c>
      <c r="H6" s="518">
        <f>+'Pro_Forma IS'!H$7*'Working Cap'!$O$49</f>
        <v>248522.64821694855</v>
      </c>
      <c r="I6" s="518">
        <f>+'Pro_Forma IS'!I$7*'Working Cap'!$O$49</f>
        <v>292264.20430279867</v>
      </c>
      <c r="J6" s="518">
        <f>+'Pro_Forma IS'!J$7*'Working Cap'!$O$49</f>
        <v>310869.65907297394</v>
      </c>
      <c r="K6" s="518">
        <f>+'Pro_Forma IS'!K$7*'Working Cap'!$O$49</f>
        <v>321478.25458675792</v>
      </c>
      <c r="L6" s="518">
        <f>+'Pro_Forma IS'!L$7*'Working Cap'!$O$49</f>
        <v>331619.09652035619</v>
      </c>
      <c r="M6" s="518">
        <f>+'Pro_Forma IS'!M$7*'Working Cap'!$O$49</f>
        <v>348410.29921329516</v>
      </c>
    </row>
    <row r="7" spans="1:13" x14ac:dyDescent="0.2">
      <c r="B7" s="487" t="s">
        <v>348</v>
      </c>
      <c r="C7" s="518">
        <v>1214050</v>
      </c>
      <c r="D7" s="518">
        <v>1162582</v>
      </c>
      <c r="E7" s="518">
        <v>1244348</v>
      </c>
      <c r="F7" s="518">
        <v>599381</v>
      </c>
      <c r="G7" s="518">
        <v>902672</v>
      </c>
      <c r="H7" s="518">
        <f>+'Working Cap'!AI$15</f>
        <v>1091172.2410478338</v>
      </c>
      <c r="I7" s="518">
        <f>+'Working Cap'!AJ$15</f>
        <v>1283225.4487677633</v>
      </c>
      <c r="J7" s="518">
        <f>+'Working Cap'!AK$15</f>
        <v>1364915.2099341734</v>
      </c>
      <c r="K7" s="518">
        <f>+'Working Cap'!AL$15</f>
        <v>1411493.6808469757</v>
      </c>
      <c r="L7" s="518">
        <f>+'Working Cap'!AM$15</f>
        <v>1456018.416512663</v>
      </c>
      <c r="M7" s="518">
        <f>+'Working Cap'!AN$15</f>
        <v>1529742.4589844313</v>
      </c>
    </row>
    <row r="8" spans="1:13" x14ac:dyDescent="0.2">
      <c r="B8" s="487" t="s">
        <v>349</v>
      </c>
      <c r="C8" s="518">
        <v>2582</v>
      </c>
      <c r="D8" s="518">
        <v>2931</v>
      </c>
      <c r="E8" s="518">
        <v>19645</v>
      </c>
      <c r="F8" s="518">
        <v>158</v>
      </c>
      <c r="G8" s="518">
        <v>724</v>
      </c>
      <c r="H8" s="518">
        <v>0</v>
      </c>
      <c r="I8" s="518">
        <v>0</v>
      </c>
      <c r="J8" s="518">
        <v>0</v>
      </c>
      <c r="K8" s="518">
        <v>0</v>
      </c>
      <c r="L8" s="518">
        <v>0</v>
      </c>
      <c r="M8" s="518">
        <v>0</v>
      </c>
    </row>
    <row r="9" spans="1:13" x14ac:dyDescent="0.2">
      <c r="B9" s="487" t="s">
        <v>350</v>
      </c>
      <c r="C9" s="518">
        <v>236666</v>
      </c>
      <c r="D9" s="518">
        <v>279344</v>
      </c>
      <c r="E9" s="518">
        <v>354232</v>
      </c>
      <c r="F9" s="518">
        <v>323574</v>
      </c>
      <c r="G9" s="518">
        <v>287337</v>
      </c>
      <c r="H9" s="518">
        <f>-SUM('Pro_Forma IS'!H$11:H$12,'Pro_Forma IS'!H$14:H$19)*('Working Cap'!L$73/360)</f>
        <v>327838.14928835235</v>
      </c>
      <c r="I9" s="518">
        <f>-SUM('Pro_Forma IS'!I$11:I$12,'Pro_Forma IS'!I$14:I$19)*('Working Cap'!M$73/360)</f>
        <v>349339.99455302401</v>
      </c>
      <c r="J9" s="518">
        <f>-SUM('Pro_Forma IS'!J$11:J$12,'Pro_Forma IS'!J$14:J$19)*('Working Cap'!N$73/360)</f>
        <v>330244.65956707805</v>
      </c>
      <c r="K9" s="518">
        <f>-SUM('Pro_Forma IS'!K$11:K$12,'Pro_Forma IS'!K$14:K$19)*('Working Cap'!O$73/360)</f>
        <v>340709.46370611747</v>
      </c>
      <c r="L9" s="518">
        <f>-SUM('Pro_Forma IS'!L$11:L$12,'Pro_Forma IS'!L$14:L$19)*('Working Cap'!P$73/360)</f>
        <v>360263.87247703091</v>
      </c>
      <c r="M9" s="518">
        <f>-SUM('Pro_Forma IS'!M$11:M$12,'Pro_Forma IS'!M$14:M$19)*('Working Cap'!Q$73/360)</f>
        <v>367784.79865273624</v>
      </c>
    </row>
    <row r="10" spans="1:13" x14ac:dyDescent="0.2">
      <c r="B10" s="487" t="s">
        <v>351</v>
      </c>
      <c r="C10" s="518">
        <v>77987</v>
      </c>
      <c r="D10" s="518">
        <v>69134</v>
      </c>
      <c r="E10" s="518">
        <v>29321</v>
      </c>
      <c r="F10" s="518">
        <v>42320</v>
      </c>
      <c r="G10" s="518">
        <v>41264</v>
      </c>
      <c r="H10" s="518"/>
      <c r="I10" s="518"/>
      <c r="J10" s="518"/>
      <c r="K10" s="518"/>
      <c r="L10" s="518"/>
      <c r="M10" s="518"/>
    </row>
    <row r="11" spans="1:13" x14ac:dyDescent="0.2">
      <c r="B11" s="487" t="s">
        <v>352</v>
      </c>
      <c r="C11" s="518">
        <v>291103</v>
      </c>
      <c r="D11" s="518">
        <v>5768</v>
      </c>
      <c r="E11" s="518">
        <v>485150</v>
      </c>
      <c r="F11" s="518">
        <v>276122</v>
      </c>
      <c r="G11" s="518">
        <v>146792</v>
      </c>
      <c r="H11" s="518">
        <v>0</v>
      </c>
      <c r="I11" s="518">
        <v>0</v>
      </c>
      <c r="J11" s="518">
        <v>0</v>
      </c>
      <c r="K11" s="518">
        <v>0</v>
      </c>
      <c r="L11" s="518">
        <v>0</v>
      </c>
      <c r="M11" s="518">
        <v>0</v>
      </c>
    </row>
    <row r="12" spans="1:13" x14ac:dyDescent="0.2">
      <c r="B12" s="500" t="s">
        <v>353</v>
      </c>
      <c r="C12" s="582">
        <v>3745499</v>
      </c>
      <c r="D12" s="582">
        <v>3275861</v>
      </c>
      <c r="E12" s="582">
        <v>4018228</v>
      </c>
      <c r="F12" s="582">
        <v>3143538</v>
      </c>
      <c r="G12" s="582">
        <v>2635130</v>
      </c>
      <c r="H12" s="611">
        <f t="shared" ref="H12:M12" si="0">+SUM(H4:H11)</f>
        <v>1667533.0385531348</v>
      </c>
      <c r="I12" s="611">
        <f t="shared" si="0"/>
        <v>1924829.647623586</v>
      </c>
      <c r="J12" s="611">
        <f t="shared" si="0"/>
        <v>2006029.5285742255</v>
      </c>
      <c r="K12" s="611">
        <f t="shared" si="0"/>
        <v>2073681.3991398509</v>
      </c>
      <c r="L12" s="611">
        <f t="shared" si="0"/>
        <v>2147901.3855100502</v>
      </c>
      <c r="M12" s="611">
        <f t="shared" si="0"/>
        <v>2245937.5568504627</v>
      </c>
    </row>
    <row r="13" spans="1:13" x14ac:dyDescent="0.2">
      <c r="B13" s="487" t="s">
        <v>354</v>
      </c>
      <c r="C13" s="518">
        <v>10065335</v>
      </c>
      <c r="D13" s="518">
        <v>12501809</v>
      </c>
      <c r="E13" s="518">
        <v>12919618</v>
      </c>
      <c r="F13" s="518">
        <v>10730269</v>
      </c>
      <c r="G13" s="518">
        <v>9489867</v>
      </c>
      <c r="H13" s="518">
        <f>+CAPEX!AV70</f>
        <v>9404186.8471497968</v>
      </c>
      <c r="I13" s="518">
        <f>+CAPEX!AW70</f>
        <v>10110375.563026417</v>
      </c>
      <c r="J13" s="518">
        <f>+CAPEX!AX70</f>
        <v>10142085.784245413</v>
      </c>
      <c r="K13" s="518">
        <f>+CAPEX!AY70</f>
        <v>10413600.505740959</v>
      </c>
      <c r="L13" s="518">
        <f>+CAPEX!AZ70</f>
        <v>10651207.778366849</v>
      </c>
      <c r="M13" s="518">
        <f>+CAPEX!BA70</f>
        <v>11099609.952407395</v>
      </c>
    </row>
    <row r="14" spans="1:13" x14ac:dyDescent="0.2">
      <c r="B14" s="487" t="s">
        <v>355</v>
      </c>
      <c r="C14" s="518">
        <v>2672550</v>
      </c>
      <c r="D14" s="518">
        <v>2294072</v>
      </c>
      <c r="E14" s="518">
        <v>2209576</v>
      </c>
      <c r="F14" s="518">
        <v>0</v>
      </c>
      <c r="G14" s="518">
        <v>0</v>
      </c>
      <c r="H14" s="518">
        <v>0</v>
      </c>
      <c r="I14" s="518">
        <v>0</v>
      </c>
      <c r="J14" s="518">
        <v>0</v>
      </c>
      <c r="K14" s="518">
        <v>0</v>
      </c>
      <c r="L14" s="518">
        <v>0</v>
      </c>
      <c r="M14" s="518">
        <v>0</v>
      </c>
    </row>
    <row r="15" spans="1:13" x14ac:dyDescent="0.2">
      <c r="B15" s="487" t="s">
        <v>356</v>
      </c>
      <c r="C15" s="518">
        <v>1617247</v>
      </c>
      <c r="D15" s="518">
        <v>1441072</v>
      </c>
      <c r="E15" s="518">
        <v>1448241</v>
      </c>
      <c r="F15" s="518">
        <v>1046559</v>
      </c>
      <c r="G15" s="518">
        <v>1018892</v>
      </c>
      <c r="H15" s="518">
        <f>CAPEX!Z13</f>
        <v>1018765</v>
      </c>
      <c r="I15" s="518">
        <f>CAPEX!AA13</f>
        <v>1018765</v>
      </c>
      <c r="J15" s="518">
        <f>CAPEX!AB13</f>
        <v>1018765</v>
      </c>
      <c r="K15" s="518">
        <f>CAPEX!AC13</f>
        <v>1018765</v>
      </c>
      <c r="L15" s="518">
        <f>CAPEX!AD13</f>
        <v>1018765</v>
      </c>
      <c r="M15" s="518">
        <f>CAPEX!AE13</f>
        <v>1018765</v>
      </c>
    </row>
    <row r="16" spans="1:13" x14ac:dyDescent="0.2">
      <c r="B16" s="487" t="s">
        <v>357</v>
      </c>
      <c r="C16" s="518">
        <v>697341</v>
      </c>
      <c r="D16" s="518">
        <v>565908</v>
      </c>
      <c r="E16" s="518">
        <v>492143</v>
      </c>
      <c r="F16" s="518">
        <v>729724</v>
      </c>
      <c r="G16" s="518">
        <v>168545</v>
      </c>
      <c r="H16" s="518"/>
      <c r="I16" s="518"/>
      <c r="J16" s="518"/>
      <c r="K16" s="518"/>
      <c r="L16" s="518"/>
      <c r="M16" s="518"/>
    </row>
    <row r="17" spans="2:13" ht="17" thickBot="1" x14ac:dyDescent="0.25">
      <c r="B17" s="581" t="s">
        <v>358</v>
      </c>
      <c r="C17" s="588">
        <v>15052473</v>
      </c>
      <c r="D17" s="588">
        <v>16802861</v>
      </c>
      <c r="E17" s="588">
        <v>17069578</v>
      </c>
      <c r="F17" s="588">
        <v>12506552</v>
      </c>
      <c r="G17" s="588">
        <v>10677304</v>
      </c>
      <c r="H17" s="612">
        <f>+SUM(H13:H16)</f>
        <v>10422951.847149797</v>
      </c>
      <c r="I17" s="612">
        <f t="shared" ref="I17:M17" si="1">+SUM(I13:I16)</f>
        <v>11129140.563026417</v>
      </c>
      <c r="J17" s="612">
        <f t="shared" si="1"/>
        <v>11160850.784245413</v>
      </c>
      <c r="K17" s="612">
        <f t="shared" si="1"/>
        <v>11432365.505740959</v>
      </c>
      <c r="L17" s="612">
        <f t="shared" si="1"/>
        <v>11669972.778366849</v>
      </c>
      <c r="M17" s="612">
        <f t="shared" si="1"/>
        <v>12118374.952407395</v>
      </c>
    </row>
    <row r="18" spans="2:13" ht="17" thickTop="1" x14ac:dyDescent="0.2">
      <c r="B18" s="487"/>
      <c r="C18" s="518"/>
      <c r="D18" s="518"/>
      <c r="E18" s="518"/>
      <c r="F18" s="518"/>
      <c r="G18" s="518"/>
      <c r="H18" s="518"/>
      <c r="I18" s="518"/>
      <c r="J18" s="518"/>
      <c r="K18" s="518"/>
      <c r="L18" s="518"/>
      <c r="M18" s="518"/>
    </row>
    <row r="19" spans="2:13" x14ac:dyDescent="0.2">
      <c r="B19" s="501" t="s">
        <v>359</v>
      </c>
      <c r="C19" s="857">
        <v>18797972</v>
      </c>
      <c r="D19" s="857">
        <v>20078722</v>
      </c>
      <c r="E19" s="857">
        <v>21087806</v>
      </c>
      <c r="F19" s="857">
        <v>15650090</v>
      </c>
      <c r="G19" s="857">
        <v>13312434</v>
      </c>
      <c r="H19" s="857"/>
      <c r="I19" s="857"/>
      <c r="J19" s="857"/>
      <c r="K19" s="857"/>
      <c r="L19" s="857"/>
      <c r="M19" s="857"/>
    </row>
    <row r="20" spans="2:13" x14ac:dyDescent="0.2">
      <c r="B20" s="487" t="s">
        <v>360</v>
      </c>
      <c r="C20" s="518">
        <v>1300949</v>
      </c>
      <c r="D20" s="518">
        <v>1794286</v>
      </c>
      <c r="E20" s="518">
        <v>1885660</v>
      </c>
      <c r="F20" s="518">
        <v>3055730</v>
      </c>
      <c r="G20" s="518">
        <v>4453451</v>
      </c>
      <c r="H20" s="518"/>
      <c r="I20" s="518"/>
      <c r="J20" s="518"/>
      <c r="K20" s="518"/>
      <c r="L20" s="518"/>
      <c r="M20" s="518"/>
    </row>
    <row r="21" spans="2:13" x14ac:dyDescent="0.2">
      <c r="B21" s="487" t="s">
        <v>361</v>
      </c>
      <c r="C21" s="518">
        <v>1695202</v>
      </c>
      <c r="D21" s="518">
        <v>1674303</v>
      </c>
      <c r="E21" s="518">
        <v>2222874</v>
      </c>
      <c r="F21" s="518">
        <v>2322125</v>
      </c>
      <c r="G21" s="518">
        <v>4860153</v>
      </c>
      <c r="H21" s="518">
        <f>SUM('Pro_Forma IS'!H$11:H$12,'Pro_Forma IS'!H$14:H$19)*('Working Cap'!$O$68/365)</f>
        <v>-3906955.1378721292</v>
      </c>
      <c r="I21" s="518">
        <f>SUM('Pro_Forma IS'!I$11:I$12,'Pro_Forma IS'!I$14:I$19)*('Working Cap'!$O$68/365)</f>
        <v>-4163199.7055433909</v>
      </c>
      <c r="J21" s="518">
        <f>SUM('Pro_Forma IS'!J$11:J$12,'Pro_Forma IS'!J$14:J$19)*('Working Cap'!$O$68/365)</f>
        <v>-3935634.313002354</v>
      </c>
      <c r="K21" s="518">
        <f>SUM('Pro_Forma IS'!K$11:K$12,'Pro_Forma IS'!K$14:K$19)*('Working Cap'!$O$68/365)</f>
        <v>-4060346.8285732139</v>
      </c>
      <c r="L21" s="518">
        <f>SUM('Pro_Forma IS'!L$11:L$12,'Pro_Forma IS'!L$14:L$19)*('Working Cap'!$O$68/365)</f>
        <v>-4293383.1545206727</v>
      </c>
      <c r="M21" s="518">
        <f>SUM('Pro_Forma IS'!M$11:M$12,'Pro_Forma IS'!M$14:M$19)*('Working Cap'!$O$68/365)</f>
        <v>-4383012.5073812632</v>
      </c>
    </row>
    <row r="22" spans="2:13" x14ac:dyDescent="0.2">
      <c r="B22" s="487" t="s">
        <v>362</v>
      </c>
      <c r="C22" s="518">
        <v>3511</v>
      </c>
      <c r="D22" s="518">
        <v>3738</v>
      </c>
      <c r="E22" s="518">
        <v>11925</v>
      </c>
      <c r="F22" s="518">
        <v>656</v>
      </c>
      <c r="G22" s="518">
        <v>675</v>
      </c>
      <c r="H22" s="518"/>
      <c r="I22" s="518"/>
      <c r="J22" s="518"/>
      <c r="K22" s="518"/>
      <c r="L22" s="518"/>
      <c r="M22" s="518"/>
    </row>
    <row r="23" spans="2:13" x14ac:dyDescent="0.2">
      <c r="B23" s="487" t="s">
        <v>363</v>
      </c>
      <c r="C23" s="518">
        <v>2843052</v>
      </c>
      <c r="D23" s="518">
        <v>2459922</v>
      </c>
      <c r="E23" s="518">
        <v>2840483</v>
      </c>
      <c r="F23" s="518">
        <v>2113377</v>
      </c>
      <c r="G23" s="518">
        <v>3022050</v>
      </c>
      <c r="H23" s="518">
        <f>'Working Cap'!$D$39*'Pro_Forma IS'!H$4</f>
        <v>1301269.7602765642</v>
      </c>
      <c r="I23" s="518">
        <f>'Working Cap'!$D$39*'Pro_Forma IS'!I$4</f>
        <v>1550539.6635069866</v>
      </c>
      <c r="J23" s="518">
        <f>'Working Cap'!$D$39*'Pro_Forma IS'!J$4</f>
        <v>1715466.3111493541</v>
      </c>
      <c r="K23" s="518">
        <f>'Working Cap'!$D$39*'Pro_Forma IS'!K$4</f>
        <v>1774195.7100366969</v>
      </c>
      <c r="L23" s="518">
        <f>'Working Cap'!$D$39*'Pro_Forma IS'!L$4</f>
        <v>1863409.5840037621</v>
      </c>
      <c r="M23" s="518">
        <f>'Working Cap'!$D$39*'Pro_Forma IS'!M$4</f>
        <v>1962686.9395238163</v>
      </c>
    </row>
    <row r="24" spans="2:13" x14ac:dyDescent="0.2">
      <c r="B24" s="500" t="s">
        <v>364</v>
      </c>
      <c r="C24" s="858">
        <v>5842714</v>
      </c>
      <c r="D24" s="858">
        <v>5932249</v>
      </c>
      <c r="E24" s="858">
        <v>6960942</v>
      </c>
      <c r="F24" s="858">
        <v>7491888</v>
      </c>
      <c r="G24" s="858">
        <v>12336329</v>
      </c>
      <c r="H24" s="611">
        <f t="shared" ref="H24:M24" si="2">+SUM(H20:H23)</f>
        <v>-2605685.3775955653</v>
      </c>
      <c r="I24" s="611">
        <f t="shared" si="2"/>
        <v>-2612660.0420364044</v>
      </c>
      <c r="J24" s="611">
        <f t="shared" si="2"/>
        <v>-2220168.0018529999</v>
      </c>
      <c r="K24" s="611">
        <f t="shared" si="2"/>
        <v>-2286151.118536517</v>
      </c>
      <c r="L24" s="611">
        <f t="shared" si="2"/>
        <v>-2429973.5705169104</v>
      </c>
      <c r="M24" s="611">
        <f t="shared" si="2"/>
        <v>-2420325.5678574471</v>
      </c>
    </row>
    <row r="25" spans="2:13" x14ac:dyDescent="0.2">
      <c r="B25" s="487" t="s">
        <v>360</v>
      </c>
      <c r="C25" s="518">
        <v>6605508</v>
      </c>
      <c r="D25" s="518">
        <v>8359462</v>
      </c>
      <c r="E25" s="518">
        <v>8530418</v>
      </c>
      <c r="F25" s="518">
        <v>7803801</v>
      </c>
      <c r="G25" s="518">
        <v>5948702</v>
      </c>
      <c r="H25" s="518"/>
      <c r="I25" s="518"/>
      <c r="J25" s="518"/>
      <c r="K25" s="518"/>
      <c r="L25" s="518"/>
      <c r="M25" s="518"/>
    </row>
    <row r="26" spans="2:13" x14ac:dyDescent="0.2">
      <c r="B26" s="487" t="s">
        <v>365</v>
      </c>
      <c r="C26" s="518">
        <v>498832</v>
      </c>
      <c r="D26" s="518">
        <v>529277</v>
      </c>
      <c r="E26" s="518">
        <v>619110</v>
      </c>
      <c r="F26" s="518">
        <v>651600</v>
      </c>
      <c r="G26" s="518">
        <v>472426</v>
      </c>
      <c r="H26" s="518">
        <v>0</v>
      </c>
      <c r="I26" s="518">
        <v>0</v>
      </c>
      <c r="J26" s="518">
        <v>0</v>
      </c>
      <c r="K26" s="518">
        <v>0</v>
      </c>
      <c r="L26" s="518">
        <v>0</v>
      </c>
      <c r="M26" s="518">
        <v>0</v>
      </c>
    </row>
    <row r="27" spans="2:13" x14ac:dyDescent="0.2">
      <c r="B27" s="487" t="s">
        <v>366</v>
      </c>
      <c r="C27" s="518">
        <v>374593</v>
      </c>
      <c r="D27" s="518">
        <v>303495</v>
      </c>
      <c r="E27" s="518">
        <v>286403</v>
      </c>
      <c r="F27" s="518">
        <v>396423</v>
      </c>
      <c r="G27" s="518">
        <v>712581</v>
      </c>
      <c r="H27" s="518"/>
      <c r="I27" s="518"/>
      <c r="J27" s="518"/>
      <c r="K27" s="518"/>
      <c r="L27" s="518"/>
      <c r="M27" s="518"/>
    </row>
    <row r="28" spans="2:13" x14ac:dyDescent="0.2">
      <c r="B28" s="487" t="s">
        <v>367</v>
      </c>
      <c r="C28" s="518">
        <v>949697</v>
      </c>
      <c r="D28" s="518">
        <v>786571</v>
      </c>
      <c r="E28" s="518">
        <v>616803</v>
      </c>
      <c r="F28" s="518">
        <v>588359</v>
      </c>
      <c r="G28" s="518">
        <v>341011</v>
      </c>
      <c r="H28" s="518"/>
      <c r="I28" s="518"/>
      <c r="J28" s="518"/>
    </row>
    <row r="29" spans="2:13" x14ac:dyDescent="0.2">
      <c r="B29" s="487" t="s">
        <v>368</v>
      </c>
      <c r="C29" s="518">
        <v>101087</v>
      </c>
      <c r="D29" s="518">
        <v>82365</v>
      </c>
      <c r="E29" s="518">
        <v>93570</v>
      </c>
      <c r="F29" s="518">
        <v>384280</v>
      </c>
      <c r="G29" s="518">
        <v>56233</v>
      </c>
      <c r="H29" s="742"/>
      <c r="I29" s="518"/>
      <c r="J29" s="518"/>
      <c r="K29" s="518"/>
      <c r="L29" s="518"/>
      <c r="M29" s="518"/>
    </row>
    <row r="30" spans="2:13" x14ac:dyDescent="0.2">
      <c r="B30" s="487" t="s">
        <v>363</v>
      </c>
      <c r="C30" s="518">
        <v>158305</v>
      </c>
      <c r="D30" s="518">
        <v>644702</v>
      </c>
      <c r="E30" s="518">
        <v>851383</v>
      </c>
      <c r="F30" s="518">
        <v>74116</v>
      </c>
      <c r="G30" s="518">
        <v>512056</v>
      </c>
      <c r="H30" s="518">
        <v>0</v>
      </c>
      <c r="I30" s="518">
        <v>0</v>
      </c>
      <c r="J30" s="518">
        <v>0</v>
      </c>
      <c r="K30" s="518">
        <v>0</v>
      </c>
      <c r="L30" s="518">
        <v>0</v>
      </c>
      <c r="M30" s="518">
        <v>0</v>
      </c>
    </row>
    <row r="31" spans="2:13" x14ac:dyDescent="0.2">
      <c r="B31" s="585" t="s">
        <v>369</v>
      </c>
      <c r="C31" s="858">
        <v>8688022</v>
      </c>
      <c r="D31" s="858">
        <v>10705872</v>
      </c>
      <c r="E31" s="858">
        <v>10997687</v>
      </c>
      <c r="F31" s="858">
        <v>702008</v>
      </c>
      <c r="G31" s="858">
        <v>8043009</v>
      </c>
      <c r="H31" s="611">
        <f t="shared" ref="H31:M31" si="3">+SUM(H25:H30)</f>
        <v>0</v>
      </c>
      <c r="I31" s="611">
        <f t="shared" si="3"/>
        <v>0</v>
      </c>
      <c r="J31" s="611">
        <f t="shared" si="3"/>
        <v>0</v>
      </c>
      <c r="K31" s="611">
        <f t="shared" si="3"/>
        <v>0</v>
      </c>
      <c r="L31" s="611">
        <f t="shared" si="3"/>
        <v>0</v>
      </c>
      <c r="M31" s="611">
        <f t="shared" si="3"/>
        <v>0</v>
      </c>
    </row>
    <row r="32" spans="2:13" x14ac:dyDescent="0.2">
      <c r="B32" s="504"/>
      <c r="C32" s="584"/>
      <c r="D32" s="584"/>
      <c r="E32" s="584"/>
      <c r="F32" s="584"/>
      <c r="G32" s="584"/>
      <c r="H32" s="584"/>
      <c r="I32" s="584"/>
      <c r="J32" s="584"/>
      <c r="K32" s="584"/>
      <c r="L32" s="584"/>
      <c r="M32" s="584"/>
    </row>
    <row r="33" spans="2:14" ht="17" thickBot="1" x14ac:dyDescent="0.25">
      <c r="B33" s="583" t="s">
        <v>370</v>
      </c>
      <c r="C33" s="586">
        <v>14530736</v>
      </c>
      <c r="D33" s="586">
        <v>16638121</v>
      </c>
      <c r="E33" s="586">
        <v>17958629</v>
      </c>
      <c r="F33" s="586">
        <v>10600587</v>
      </c>
      <c r="G33" s="586">
        <v>20379338</v>
      </c>
      <c r="H33" s="586"/>
      <c r="I33" s="586"/>
      <c r="J33" s="586"/>
      <c r="K33" s="586"/>
      <c r="L33" s="586"/>
      <c r="M33" s="586"/>
    </row>
    <row r="34" spans="2:14" ht="17" thickTop="1" x14ac:dyDescent="0.2">
      <c r="B34" s="487"/>
      <c r="C34" s="518"/>
      <c r="D34" s="518"/>
      <c r="E34" s="518"/>
      <c r="F34" s="518"/>
      <c r="G34" s="518"/>
      <c r="H34" s="518"/>
      <c r="I34" s="518"/>
      <c r="J34" s="518"/>
      <c r="K34" s="518"/>
      <c r="L34" s="518"/>
      <c r="M34" s="518"/>
    </row>
    <row r="35" spans="2:14" x14ac:dyDescent="0.2">
      <c r="B35" s="487" t="s">
        <v>371</v>
      </c>
      <c r="C35" s="518">
        <v>3146265</v>
      </c>
      <c r="D35" s="518">
        <v>3146265</v>
      </c>
      <c r="E35" s="518">
        <v>3146265</v>
      </c>
      <c r="F35" s="518">
        <v>3146265</v>
      </c>
      <c r="G35" s="518">
        <v>3146265</v>
      </c>
      <c r="H35" s="518"/>
      <c r="I35" s="518"/>
      <c r="J35" s="518"/>
      <c r="K35" s="518"/>
      <c r="L35" s="518"/>
      <c r="M35" s="518"/>
    </row>
    <row r="36" spans="2:14" x14ac:dyDescent="0.2">
      <c r="B36" s="487" t="s">
        <v>372</v>
      </c>
      <c r="C36" s="518">
        <v>475118</v>
      </c>
      <c r="D36" s="518">
        <v>218971</v>
      </c>
      <c r="E36" s="518">
        <v>352272</v>
      </c>
      <c r="F36" s="518">
        <v>-4193615</v>
      </c>
      <c r="G36" s="518">
        <v>-8841106</v>
      </c>
      <c r="H36" s="518"/>
      <c r="I36" s="518"/>
      <c r="J36" s="518"/>
      <c r="K36" s="518"/>
      <c r="L36" s="518"/>
      <c r="M36" s="518"/>
    </row>
    <row r="37" spans="2:14" x14ac:dyDescent="0.2">
      <c r="B37" s="487" t="s">
        <v>373</v>
      </c>
      <c r="C37" s="518">
        <v>-178</v>
      </c>
      <c r="D37" s="518">
        <v>-178</v>
      </c>
      <c r="E37" s="518">
        <v>-178</v>
      </c>
      <c r="F37" s="518">
        <v>-178</v>
      </c>
      <c r="G37" s="518">
        <v>-178</v>
      </c>
      <c r="H37" s="518"/>
      <c r="I37" s="518"/>
      <c r="J37" s="518"/>
      <c r="K37" s="518"/>
      <c r="L37" s="518"/>
      <c r="M37" s="518"/>
    </row>
    <row r="38" spans="2:14" x14ac:dyDescent="0.2">
      <c r="B38" s="487" t="s">
        <v>374</v>
      </c>
      <c r="C38" s="518">
        <v>554884</v>
      </c>
      <c r="D38" s="518">
        <v>-4365</v>
      </c>
      <c r="E38" s="518">
        <v>-367577</v>
      </c>
      <c r="F38" s="518">
        <v>-1388185</v>
      </c>
      <c r="G38" s="518">
        <v>-1361529</v>
      </c>
      <c r="H38" s="518"/>
      <c r="I38" s="518"/>
      <c r="J38" s="518"/>
      <c r="K38" s="518"/>
      <c r="L38" s="518"/>
      <c r="M38" s="518"/>
    </row>
    <row r="39" spans="2:14" x14ac:dyDescent="0.2">
      <c r="B39" s="487" t="s">
        <v>375</v>
      </c>
      <c r="C39" s="518">
        <v>4176089</v>
      </c>
      <c r="D39" s="518">
        <v>3360693</v>
      </c>
      <c r="E39" s="518">
        <v>3130782</v>
      </c>
      <c r="F39" s="518">
        <v>-2435713</v>
      </c>
      <c r="G39" s="518">
        <v>-7056548</v>
      </c>
      <c r="H39" s="518"/>
      <c r="I39" s="518"/>
      <c r="J39" s="518"/>
      <c r="K39" s="518"/>
      <c r="L39" s="518"/>
      <c r="M39" s="518"/>
    </row>
    <row r="40" spans="2:14" x14ac:dyDescent="0.2">
      <c r="B40" s="487" t="s">
        <v>376</v>
      </c>
      <c r="C40" s="518">
        <v>91147</v>
      </c>
      <c r="D40" s="518">
        <v>79908</v>
      </c>
      <c r="E40" s="518">
        <v>-1605</v>
      </c>
      <c r="F40" s="518">
        <v>-6673</v>
      </c>
      <c r="G40" s="518">
        <v>-10356</v>
      </c>
      <c r="H40" s="518"/>
      <c r="I40" s="518"/>
      <c r="J40" s="518"/>
      <c r="K40" s="518"/>
      <c r="L40" s="518"/>
      <c r="M40" s="518"/>
    </row>
    <row r="41" spans="2:14" ht="17" thickBot="1" x14ac:dyDescent="0.25">
      <c r="B41" s="581" t="s">
        <v>377</v>
      </c>
      <c r="C41" s="587">
        <v>4267236</v>
      </c>
      <c r="D41" s="587">
        <v>3440601</v>
      </c>
      <c r="E41" s="587">
        <v>3129177</v>
      </c>
      <c r="F41" s="587">
        <v>-2442386</v>
      </c>
      <c r="G41" s="587">
        <v>-7066904</v>
      </c>
      <c r="H41" s="660">
        <f t="shared" ref="H41:M41" si="4">+SUM(H35:H40)</f>
        <v>0</v>
      </c>
      <c r="I41" s="660">
        <f t="shared" si="4"/>
        <v>0</v>
      </c>
      <c r="J41" s="660">
        <f t="shared" si="4"/>
        <v>0</v>
      </c>
      <c r="K41" s="660">
        <f t="shared" si="4"/>
        <v>0</v>
      </c>
      <c r="L41" s="660">
        <f t="shared" si="4"/>
        <v>0</v>
      </c>
      <c r="M41" s="660">
        <f t="shared" si="4"/>
        <v>0</v>
      </c>
    </row>
    <row r="42" spans="2:14" ht="17" thickTop="1" x14ac:dyDescent="0.2"/>
    <row r="46" spans="2:14" x14ac:dyDescent="0.2">
      <c r="B46" s="747" t="s">
        <v>378</v>
      </c>
      <c r="C46" s="748"/>
      <c r="D46" s="748"/>
      <c r="E46" s="748"/>
      <c r="F46" s="748"/>
      <c r="G46" s="748"/>
      <c r="H46" s="747"/>
      <c r="I46" s="747"/>
      <c r="J46" s="747"/>
      <c r="K46" s="747"/>
      <c r="L46" s="747"/>
      <c r="M46" s="747"/>
    </row>
    <row r="47" spans="2:14" x14ac:dyDescent="0.2">
      <c r="B47" s="747"/>
      <c r="C47" s="489"/>
      <c r="D47" s="489"/>
      <c r="E47" s="489"/>
      <c r="F47" s="489"/>
      <c r="G47" s="489"/>
      <c r="H47" s="490"/>
      <c r="I47" s="490"/>
      <c r="J47" s="490"/>
      <c r="K47" s="490"/>
      <c r="L47" s="490"/>
      <c r="M47" s="490"/>
      <c r="N47" s="490"/>
    </row>
    <row r="48" spans="2:14" x14ac:dyDescent="0.2">
      <c r="B48" s="747"/>
      <c r="C48" s="489"/>
      <c r="D48" s="489"/>
      <c r="E48" s="489"/>
      <c r="F48" s="489"/>
      <c r="G48" s="490"/>
      <c r="H48" s="490"/>
      <c r="I48" s="490"/>
      <c r="J48" s="490"/>
      <c r="K48" s="490"/>
      <c r="L48" s="490"/>
      <c r="M48" s="490"/>
      <c r="N48" s="490"/>
    </row>
    <row r="49" spans="2:24" x14ac:dyDescent="0.2">
      <c r="B49" s="747" t="s">
        <v>379</v>
      </c>
      <c r="C49" s="751"/>
      <c r="D49" s="751"/>
      <c r="E49" s="751"/>
      <c r="F49" s="751"/>
      <c r="G49" s="752"/>
      <c r="H49" s="490"/>
      <c r="I49" s="490"/>
      <c r="J49" s="490"/>
      <c r="K49" s="490"/>
      <c r="L49" s="490"/>
      <c r="M49" s="490"/>
      <c r="N49" s="490"/>
    </row>
    <row r="50" spans="2:24" x14ac:dyDescent="0.2">
      <c r="B50" s="747" t="s">
        <v>380</v>
      </c>
      <c r="C50" s="505">
        <v>2017</v>
      </c>
      <c r="D50" s="505">
        <v>2018</v>
      </c>
      <c r="E50" s="505">
        <v>2019</v>
      </c>
      <c r="F50" s="505">
        <v>2020</v>
      </c>
      <c r="G50" s="505">
        <v>2021</v>
      </c>
      <c r="H50" s="498" t="s">
        <v>0</v>
      </c>
      <c r="I50" s="498" t="s">
        <v>1</v>
      </c>
      <c r="J50" s="498" t="s">
        <v>2</v>
      </c>
      <c r="K50" s="498" t="s">
        <v>3</v>
      </c>
      <c r="L50" s="498" t="s">
        <v>4</v>
      </c>
      <c r="M50" s="498" t="s">
        <v>5</v>
      </c>
      <c r="N50" s="490"/>
    </row>
    <row r="51" spans="2:24" x14ac:dyDescent="0.2">
      <c r="B51" s="747" t="s">
        <v>381</v>
      </c>
      <c r="C51" s="489"/>
      <c r="D51" s="489"/>
      <c r="E51" s="489"/>
      <c r="F51" s="489"/>
      <c r="G51" s="490"/>
      <c r="H51" s="490"/>
      <c r="I51" s="490"/>
      <c r="J51" s="490"/>
      <c r="K51" s="490"/>
      <c r="L51" s="490"/>
      <c r="M51" s="490"/>
      <c r="N51" s="490"/>
    </row>
    <row r="52" spans="2:24" x14ac:dyDescent="0.2">
      <c r="B52" s="501" t="s">
        <v>382</v>
      </c>
      <c r="C52" s="761"/>
      <c r="D52" s="761"/>
      <c r="E52" s="761"/>
      <c r="F52" s="761"/>
      <c r="G52" s="762"/>
      <c r="H52" s="762"/>
      <c r="I52" s="762"/>
      <c r="J52" s="762"/>
      <c r="K52" s="762"/>
      <c r="L52" s="762"/>
      <c r="M52" s="762"/>
      <c r="N52" s="490"/>
    </row>
    <row r="53" spans="2:24" x14ac:dyDescent="0.2">
      <c r="B53" s="747" t="s">
        <v>348</v>
      </c>
      <c r="C53" s="489">
        <v>1223523</v>
      </c>
      <c r="D53" s="489">
        <v>1170894</v>
      </c>
      <c r="E53" s="489">
        <v>1268718</v>
      </c>
      <c r="F53" s="489">
        <v>604525</v>
      </c>
      <c r="G53" s="489">
        <v>915597</v>
      </c>
      <c r="H53" s="753">
        <f>+'Working Cap'!AI$15</f>
        <v>1091172.2410478338</v>
      </c>
      <c r="I53" s="753">
        <f>+'Working Cap'!AJ$15</f>
        <v>1283225.4487677633</v>
      </c>
      <c r="J53" s="753">
        <f>+'Working Cap'!AK$15</f>
        <v>1364915.2099341734</v>
      </c>
      <c r="K53" s="753">
        <f>+'Working Cap'!AL$15</f>
        <v>1411493.6808469757</v>
      </c>
      <c r="L53" s="753">
        <f>+'Working Cap'!AM$15</f>
        <v>1456018.416512663</v>
      </c>
      <c r="M53" s="753">
        <f>+'Working Cap'!AN$15</f>
        <v>1529742.4589844313</v>
      </c>
      <c r="N53" s="490"/>
    </row>
    <row r="54" spans="2:24" x14ac:dyDescent="0.2">
      <c r="B54" s="747" t="s">
        <v>350</v>
      </c>
      <c r="C54" s="489">
        <v>236666</v>
      </c>
      <c r="D54" s="489">
        <v>279344</v>
      </c>
      <c r="E54" s="489">
        <v>354232</v>
      </c>
      <c r="F54" s="489">
        <v>323574</v>
      </c>
      <c r="G54" s="489">
        <v>287337</v>
      </c>
      <c r="H54" s="753">
        <f>-SUM('Pro_Forma IS'!H$11:H$12,'Pro_Forma IS'!H$14:H$19)*('Working Cap'!L$73/360)</f>
        <v>327838.14928835235</v>
      </c>
      <c r="I54" s="753">
        <f>-SUM('Pro_Forma IS'!I$11:I$12,'Pro_Forma IS'!I$14:I$19)*('Working Cap'!M$73/360)</f>
        <v>349339.99455302401</v>
      </c>
      <c r="J54" s="753">
        <f>-SUM('Pro_Forma IS'!J$11:J$12,'Pro_Forma IS'!J$14:J$19)*('Working Cap'!N$73/360)</f>
        <v>330244.65956707805</v>
      </c>
      <c r="K54" s="753">
        <f>-SUM('Pro_Forma IS'!K$11:K$12,'Pro_Forma IS'!K$14:K$19)*('Working Cap'!O$73/360)</f>
        <v>340709.46370611747</v>
      </c>
      <c r="L54" s="753">
        <f>-SUM('Pro_Forma IS'!L$11:L$12,'Pro_Forma IS'!L$14:L$19)*('Working Cap'!P$73/360)</f>
        <v>360263.87247703091</v>
      </c>
      <c r="M54" s="753">
        <f>-SUM('Pro_Forma IS'!M$11:M$12,'Pro_Forma IS'!M$14:M$19)*('Working Cap'!Q$73/360)</f>
        <v>367784.79865273624</v>
      </c>
      <c r="N54" s="490"/>
    </row>
    <row r="55" spans="2:24" x14ac:dyDescent="0.2">
      <c r="B55" s="747" t="s">
        <v>347</v>
      </c>
      <c r="C55" s="489">
        <v>441995</v>
      </c>
      <c r="D55" s="489">
        <v>518017</v>
      </c>
      <c r="E55" s="489">
        <v>518377</v>
      </c>
      <c r="F55" s="489">
        <v>282674</v>
      </c>
      <c r="G55" s="489">
        <v>233800</v>
      </c>
      <c r="H55" s="753">
        <f>+'Pro_Forma IS'!H$7*'Working Cap'!$O$51</f>
        <v>475801.90814939421</v>
      </c>
      <c r="I55" s="753">
        <f>+'Pro_Forma IS'!I$7*'Working Cap'!$O$51</f>
        <v>559546.0497815205</v>
      </c>
      <c r="J55" s="753">
        <f>+'Pro_Forma IS'!J$7*'Working Cap'!$O$51</f>
        <v>595166.58958000527</v>
      </c>
      <c r="K55" s="753">
        <f>+'Pro_Forma IS'!K$7*'Working Cap'!$O$51</f>
        <v>615476.97185082838</v>
      </c>
      <c r="L55" s="753">
        <f>+'Pro_Forma IS'!L$7*'Working Cap'!$O$51</f>
        <v>634891.82992056629</v>
      </c>
      <c r="M55" s="753">
        <f>+'Pro_Forma IS'!M$7*'Working Cap'!$O$51</f>
        <v>667038.94543999108</v>
      </c>
      <c r="N55" s="490"/>
    </row>
    <row r="56" spans="2:24" x14ac:dyDescent="0.2">
      <c r="B56" s="747" t="s">
        <v>383</v>
      </c>
      <c r="C56" s="489">
        <v>-2194794</v>
      </c>
      <c r="D56" s="489">
        <v>-2203962</v>
      </c>
      <c r="E56" s="489">
        <v>-2842040</v>
      </c>
      <c r="F56" s="489">
        <v>-3370960</v>
      </c>
      <c r="G56" s="489">
        <v>-5994181</v>
      </c>
      <c r="H56" s="753">
        <f>(SUM('Pro_Forma IS'!H$11:H$12,'Pro_Forma IS'!H$14:H$19)*('Working Cap'!$O$68/365))*2-G56</f>
        <v>-1819729.2757442584</v>
      </c>
      <c r="I56" s="753">
        <f>$H$56*SUM('Pro_Forma IS'!I11:I12,'Pro_Forma IS'!I14:I19)/SUM('Pro_Forma IS'!$H$11:$H$12,'Pro_Forma IS'!$H$14:$H$19)</f>
        <v>-1939079.4410486361</v>
      </c>
      <c r="J56" s="753">
        <f>$H$56*SUM('Pro_Forma IS'!J11:J12,'Pro_Forma IS'!J14:J19)/SUM('Pro_Forma IS'!$H$11:$H$12,'Pro_Forma IS'!$H$14:$H$19)</f>
        <v>-1833087.0781113186</v>
      </c>
      <c r="K56" s="753">
        <f>$H$56*SUM('Pro_Forma IS'!K11:K12,'Pro_Forma IS'!K14:K19)/SUM('Pro_Forma IS'!$H$11:$H$12,'Pro_Forma IS'!$H$14:$H$19)</f>
        <v>-1891174.0045354615</v>
      </c>
      <c r="L56" s="753">
        <f>$H$56*SUM('Pro_Forma IS'!L11:L12,'Pro_Forma IS'!L14:L19)/SUM('Pro_Forma IS'!$H$11:$H$12,'Pro_Forma IS'!$H$14:$H$19)</f>
        <v>-1999714.5456150894</v>
      </c>
      <c r="M56" s="753">
        <f>$H$56*SUM('Pro_Forma IS'!M11:M12,'Pro_Forma IS'!M14:M19)/SUM('Pro_Forma IS'!$H$11:$H$12,'Pro_Forma IS'!$H$14:$H$19)</f>
        <v>-2041460.906044316</v>
      </c>
      <c r="N56" s="785" t="s">
        <v>1289</v>
      </c>
    </row>
    <row r="57" spans="2:24" x14ac:dyDescent="0.2">
      <c r="B57" s="776" t="s">
        <v>384</v>
      </c>
      <c r="C57" s="489">
        <v>-493668</v>
      </c>
      <c r="D57" s="489">
        <v>-446889</v>
      </c>
      <c r="E57" s="489">
        <v>-363824</v>
      </c>
      <c r="F57" s="489">
        <v>222200</v>
      </c>
      <c r="G57" s="489">
        <v>-285132</v>
      </c>
      <c r="H57" s="754"/>
      <c r="I57" s="754"/>
      <c r="J57" s="754"/>
      <c r="K57" s="754"/>
      <c r="L57" s="754"/>
      <c r="M57" s="754"/>
      <c r="N57" s="490"/>
    </row>
    <row r="58" spans="2:24" x14ac:dyDescent="0.2">
      <c r="B58" s="747" t="s">
        <v>368</v>
      </c>
      <c r="C58" s="489">
        <v>-101087</v>
      </c>
      <c r="D58" s="489">
        <v>-82365</v>
      </c>
      <c r="E58" s="489">
        <v>-93570</v>
      </c>
      <c r="F58" s="489">
        <v>-74116</v>
      </c>
      <c r="G58" s="489">
        <v>-56233</v>
      </c>
      <c r="H58" s="753">
        <f>+G58*('Pro_Forma IS'!H10/'Pro_Forma IS'!G10)</f>
        <v>-70712.308402364826</v>
      </c>
      <c r="I58" s="753">
        <f>+H58*('Pro_Forma IS'!I10/'Pro_Forma IS'!H10)</f>
        <v>-84821.283822076555</v>
      </c>
      <c r="J58" s="753">
        <f>+I58*('Pro_Forma IS'!J10/'Pro_Forma IS'!I10)</f>
        <v>-90220.982233534523</v>
      </c>
      <c r="K58" s="753">
        <f>+J58*('Pro_Forma IS'!K10/'Pro_Forma IS'!J10)</f>
        <v>-93299.822124909013</v>
      </c>
      <c r="L58" s="753">
        <f>+K58*('Pro_Forma IS'!L10/'Pro_Forma IS'!K10)</f>
        <v>-96242.909985759034</v>
      </c>
      <c r="M58" s="753">
        <f>+L58*('Pro_Forma IS'!M10/'Pro_Forma IS'!L10)</f>
        <v>-101116.0738845997</v>
      </c>
      <c r="N58" s="490"/>
      <c r="O58" s="786">
        <f>H56*2</f>
        <v>-3639458.5514885169</v>
      </c>
    </row>
    <row r="59" spans="2:24" x14ac:dyDescent="0.2">
      <c r="B59" s="776" t="s">
        <v>385</v>
      </c>
      <c r="C59" s="489">
        <v>-377376</v>
      </c>
      <c r="D59" s="489">
        <v>-308289</v>
      </c>
      <c r="E59" s="489">
        <v>-291609</v>
      </c>
      <c r="F59" s="489">
        <v>-612133</v>
      </c>
      <c r="G59" s="489">
        <v>-740453</v>
      </c>
      <c r="H59" s="754">
        <f>(SUM('Forecast Drivers'!H25,'Forecast Drivers'!H68,'Forecast Drivers'!H113)/SUM('Forecast Drivers'!$E$25,'Forecast Drivers'!$E$68,'Forecast Drivers'!$E$113))*$E$59</f>
        <v>-237210.27572327733</v>
      </c>
      <c r="I59" s="754">
        <f>(SUM('Forecast Drivers'!I25,'Forecast Drivers'!I68,'Forecast Drivers'!I113)/SUM('Forecast Drivers'!$E$25,'Forecast Drivers'!$E$68,'Forecast Drivers'!$E$113))*$E$59</f>
        <v>-273518.47769041586</v>
      </c>
      <c r="J59" s="754">
        <f>(SUM('Forecast Drivers'!J25,'Forecast Drivers'!J68,'Forecast Drivers'!J113)/SUM('Forecast Drivers'!$E$25,'Forecast Drivers'!$E$68,'Forecast Drivers'!$E$113))*$E$59</f>
        <v>-314899.51770196873</v>
      </c>
      <c r="K59" s="754">
        <f>(SUM('Forecast Drivers'!K25,'Forecast Drivers'!K68,'Forecast Drivers'!K113)/SUM('Forecast Drivers'!$E$25,'Forecast Drivers'!$E$68,'Forecast Drivers'!$E$113))*$E$59</f>
        <v>-327602.92403563863</v>
      </c>
      <c r="L59" s="754">
        <f>(SUM('Forecast Drivers'!L25,'Forecast Drivers'!L68,'Forecast Drivers'!L113)/SUM('Forecast Drivers'!$E$25,'Forecast Drivers'!$E$68,'Forecast Drivers'!$E$113))*$E$59</f>
        <v>-339574.72908110096</v>
      </c>
      <c r="M59" s="754">
        <f>(SUM('Forecast Drivers'!M25,'Forecast Drivers'!M68,'Forecast Drivers'!M113)/SUM('Forecast Drivers'!$E$25,'Forecast Drivers'!$E$68,'Forecast Drivers'!$E$113))*$E$59</f>
        <v>-352155.25426497957</v>
      </c>
      <c r="N59" s="490"/>
      <c r="O59" s="484">
        <f>O58-G56</f>
        <v>2354722.4485114831</v>
      </c>
      <c r="R59" s="484">
        <v>-8483897</v>
      </c>
      <c r="S59" s="484">
        <v>-2669079.3590096184</v>
      </c>
      <c r="T59" s="484">
        <v>-3241615.2571077272</v>
      </c>
      <c r="U59" s="484">
        <v>-3740021.3388719042</v>
      </c>
      <c r="V59" s="484">
        <v>-3867309.3287260626</v>
      </c>
      <c r="W59" s="484">
        <v>-3973587.9355989764</v>
      </c>
      <c r="X59" s="484">
        <v>-4084330.8973706043</v>
      </c>
    </row>
    <row r="60" spans="2:24" x14ac:dyDescent="0.2">
      <c r="B60" s="501" t="s">
        <v>386</v>
      </c>
      <c r="C60" s="489">
        <v>-2982268</v>
      </c>
      <c r="D60" s="489">
        <v>-3099448</v>
      </c>
      <c r="E60" s="489">
        <v>-3686604</v>
      </c>
      <c r="F60" s="489">
        <v>-2790799</v>
      </c>
      <c r="G60" s="489">
        <v>-2844632</v>
      </c>
      <c r="H60" s="753">
        <f>-'Working Cap'!$D$39*'Pro_Forma IS'!H$4</f>
        <v>-1301269.7602765642</v>
      </c>
      <c r="I60" s="753">
        <f>-'Working Cap'!$D$39*'Pro_Forma IS'!I$4</f>
        <v>-1550539.6635069866</v>
      </c>
      <c r="J60" s="753">
        <f>-'Working Cap'!$D$39*'Pro_Forma IS'!J$4</f>
        <v>-1715466.3111493541</v>
      </c>
      <c r="K60" s="753">
        <f>-'Working Cap'!$D$39*'Pro_Forma IS'!K$4</f>
        <v>-1774195.7100366969</v>
      </c>
      <c r="L60" s="753">
        <f>-'Working Cap'!$D$39*'Pro_Forma IS'!L$4</f>
        <v>-1863409.5840037621</v>
      </c>
      <c r="M60" s="753">
        <f>-'Working Cap'!$D$39*'Pro_Forma IS'!M$4</f>
        <v>-1962686.9395238163</v>
      </c>
      <c r="N60" s="490"/>
      <c r="S60" s="484">
        <f t="shared" ref="S60:X60" si="5">+S59-R59</f>
        <v>5814817.6409903821</v>
      </c>
      <c r="T60" s="484">
        <f t="shared" si="5"/>
        <v>-572535.89809810882</v>
      </c>
      <c r="U60" s="484">
        <f t="shared" si="5"/>
        <v>-498406.08176417695</v>
      </c>
      <c r="V60" s="484">
        <f t="shared" si="5"/>
        <v>-127287.98985415837</v>
      </c>
      <c r="W60" s="484">
        <f t="shared" si="5"/>
        <v>-106278.60687291389</v>
      </c>
      <c r="X60" s="484">
        <f t="shared" si="5"/>
        <v>-110742.96177162789</v>
      </c>
    </row>
    <row r="61" spans="2:24" x14ac:dyDescent="0.2">
      <c r="B61" s="749" t="s">
        <v>387</v>
      </c>
      <c r="C61" s="755">
        <v>-4247009</v>
      </c>
      <c r="D61" s="755">
        <v>-4172697.9999999995</v>
      </c>
      <c r="E61" s="755">
        <v>-5136320.0000000009</v>
      </c>
      <c r="F61" s="755">
        <v>-5415035</v>
      </c>
      <c r="G61" s="755">
        <f>SUM(G53:G56,G58:G60)</f>
        <v>-8198765</v>
      </c>
      <c r="H61" s="755">
        <f t="shared" ref="H61:M61" si="6">SUM(H53:H56,H58:H60)</f>
        <v>-1534109.3216608844</v>
      </c>
      <c r="I61" s="755">
        <f t="shared" si="6"/>
        <v>-1655847.3729658071</v>
      </c>
      <c r="J61" s="755">
        <f t="shared" si="6"/>
        <v>-1663347.4301149193</v>
      </c>
      <c r="K61" s="755">
        <f t="shared" si="6"/>
        <v>-1718592.3443287846</v>
      </c>
      <c r="L61" s="755">
        <f t="shared" si="6"/>
        <v>-1847767.6497754515</v>
      </c>
      <c r="M61" s="755">
        <f t="shared" si="6"/>
        <v>-1892852.9706405527</v>
      </c>
      <c r="N61" s="490"/>
      <c r="O61" s="484">
        <f>G56-H56</f>
        <v>-4174451.7242557416</v>
      </c>
    </row>
    <row r="62" spans="2:24" x14ac:dyDescent="0.2">
      <c r="B62" s="776" t="s">
        <v>388</v>
      </c>
      <c r="C62" s="489">
        <v>648009</v>
      </c>
      <c r="D62" s="489">
        <v>442684</v>
      </c>
      <c r="E62" s="489">
        <v>546411</v>
      </c>
      <c r="F62" s="489">
        <v>83390</v>
      </c>
      <c r="G62" s="489">
        <v>116760</v>
      </c>
      <c r="H62" s="754"/>
      <c r="I62" s="754" t="s">
        <v>58</v>
      </c>
      <c r="J62" s="754" t="s">
        <v>58</v>
      </c>
      <c r="K62" s="754" t="s">
        <v>58</v>
      </c>
      <c r="L62" s="754" t="s">
        <v>58</v>
      </c>
      <c r="M62" s="754"/>
      <c r="N62" s="490"/>
    </row>
    <row r="63" spans="2:24" x14ac:dyDescent="0.2">
      <c r="B63" s="747" t="s">
        <v>356</v>
      </c>
      <c r="C63" s="489">
        <v>1617247</v>
      </c>
      <c r="D63" s="489">
        <v>1441072</v>
      </c>
      <c r="E63" s="489">
        <v>1448241</v>
      </c>
      <c r="F63" s="489">
        <v>1046559</v>
      </c>
      <c r="G63" s="489">
        <v>1018892</v>
      </c>
      <c r="H63" s="754">
        <f>CAPEX!Z13</f>
        <v>1018765</v>
      </c>
      <c r="I63" s="754">
        <f>CAPEX!AA13</f>
        <v>1018765</v>
      </c>
      <c r="J63" s="754">
        <f>CAPEX!AB13</f>
        <v>1018765</v>
      </c>
      <c r="K63" s="754">
        <f>CAPEX!AC13</f>
        <v>1018765</v>
      </c>
      <c r="L63" s="754">
        <f>CAPEX!AD13</f>
        <v>1018765</v>
      </c>
      <c r="M63" s="754">
        <f>CAPEX!AE13</f>
        <v>1018765</v>
      </c>
      <c r="N63" s="490"/>
    </row>
    <row r="64" spans="2:24" x14ac:dyDescent="0.2">
      <c r="B64" s="747" t="s">
        <v>355</v>
      </c>
      <c r="C64" s="489">
        <v>2672550</v>
      </c>
      <c r="D64" s="489">
        <v>2294072</v>
      </c>
      <c r="E64" s="489">
        <v>2209576</v>
      </c>
      <c r="F64" s="489" t="s">
        <v>58</v>
      </c>
      <c r="G64" s="489" t="s">
        <v>58</v>
      </c>
      <c r="H64" s="754" t="s">
        <v>58</v>
      </c>
      <c r="I64" s="754" t="s">
        <v>58</v>
      </c>
      <c r="J64" s="754" t="s">
        <v>58</v>
      </c>
      <c r="K64" s="754" t="s">
        <v>58</v>
      </c>
      <c r="L64" s="754" t="s">
        <v>58</v>
      </c>
      <c r="M64" s="754" t="s">
        <v>58</v>
      </c>
      <c r="N64" s="490"/>
    </row>
    <row r="65" spans="2:14" x14ac:dyDescent="0.2">
      <c r="B65" s="501" t="s">
        <v>389</v>
      </c>
      <c r="C65" s="489">
        <v>10065335</v>
      </c>
      <c r="D65" s="489">
        <v>12501809</v>
      </c>
      <c r="E65" s="489">
        <v>12919618</v>
      </c>
      <c r="F65" s="489">
        <v>10730269</v>
      </c>
      <c r="G65" s="489">
        <v>9489867</v>
      </c>
      <c r="H65" s="754">
        <f>CAPEX!AV70</f>
        <v>9404186.8471497968</v>
      </c>
      <c r="I65" s="754">
        <f>CAPEX!AW70</f>
        <v>10110375.563026417</v>
      </c>
      <c r="J65" s="754">
        <f>CAPEX!AX70</f>
        <v>10142085.784245413</v>
      </c>
      <c r="K65" s="754">
        <f>CAPEX!AY70</f>
        <v>10413600.505740959</v>
      </c>
      <c r="L65" s="754">
        <f>CAPEX!AZ70</f>
        <v>10651207.778366849</v>
      </c>
      <c r="M65" s="754">
        <f>CAPEX!BA70</f>
        <v>11099609.952407395</v>
      </c>
      <c r="N65" s="490"/>
    </row>
    <row r="66" spans="2:14" x14ac:dyDescent="0.2">
      <c r="B66" s="749" t="s">
        <v>382</v>
      </c>
      <c r="C66" s="755">
        <f t="shared" ref="C66:M66" si="7">SUM(C61:C65)</f>
        <v>10756132</v>
      </c>
      <c r="D66" s="755">
        <f t="shared" si="7"/>
        <v>12506939</v>
      </c>
      <c r="E66" s="755">
        <f t="shared" si="7"/>
        <v>11987526</v>
      </c>
      <c r="F66" s="755">
        <f t="shared" si="7"/>
        <v>6445183</v>
      </c>
      <c r="G66" s="755">
        <f t="shared" si="7"/>
        <v>2426754</v>
      </c>
      <c r="H66" s="756">
        <f>SUM(H61:H65)</f>
        <v>8888842.5254889131</v>
      </c>
      <c r="I66" s="756">
        <f t="shared" si="7"/>
        <v>9473293.19006061</v>
      </c>
      <c r="J66" s="756">
        <f t="shared" si="7"/>
        <v>9497503.3541304935</v>
      </c>
      <c r="K66" s="756">
        <f t="shared" si="7"/>
        <v>9713773.1614121739</v>
      </c>
      <c r="L66" s="756">
        <f t="shared" si="7"/>
        <v>9822205.1285913978</v>
      </c>
      <c r="M66" s="756">
        <f t="shared" si="7"/>
        <v>10225521.981766842</v>
      </c>
      <c r="N66" s="490"/>
    </row>
    <row r="67" spans="2:14" x14ac:dyDescent="0.2">
      <c r="B67" s="501" t="s">
        <v>390</v>
      </c>
      <c r="C67" s="761"/>
      <c r="D67" s="761"/>
      <c r="E67" s="761"/>
      <c r="F67" s="761"/>
      <c r="G67" s="761"/>
      <c r="H67" s="763"/>
      <c r="I67" s="763"/>
      <c r="J67" s="763"/>
      <c r="K67" s="763"/>
      <c r="L67" s="763"/>
      <c r="M67" s="763"/>
      <c r="N67" s="490"/>
    </row>
    <row r="68" spans="2:14" x14ac:dyDescent="0.2">
      <c r="B68" s="747" t="s">
        <v>391</v>
      </c>
      <c r="C68" s="489">
        <v>291103</v>
      </c>
      <c r="D68" s="489">
        <v>5768</v>
      </c>
      <c r="E68" s="489">
        <v>485150</v>
      </c>
      <c r="F68" s="489">
        <v>276122</v>
      </c>
      <c r="G68" s="489">
        <v>146792</v>
      </c>
      <c r="H68" s="754"/>
      <c r="I68" s="754"/>
      <c r="J68" s="754"/>
      <c r="K68" s="754"/>
      <c r="L68" s="754"/>
      <c r="M68" s="754"/>
      <c r="N68" s="490"/>
    </row>
    <row r="69" spans="2:14" x14ac:dyDescent="0.2">
      <c r="B69" s="747" t="s">
        <v>392</v>
      </c>
      <c r="C69" s="489">
        <v>-15546</v>
      </c>
      <c r="D69" s="489">
        <v>0</v>
      </c>
      <c r="E69" s="489">
        <v>0</v>
      </c>
      <c r="F69" s="489">
        <v>0</v>
      </c>
      <c r="G69" s="489">
        <v>0</v>
      </c>
      <c r="H69" s="754">
        <v>0</v>
      </c>
      <c r="I69" s="754">
        <v>0</v>
      </c>
      <c r="J69" s="754">
        <v>0</v>
      </c>
      <c r="K69" s="754">
        <v>0</v>
      </c>
      <c r="L69" s="754">
        <v>0</v>
      </c>
      <c r="M69" s="754">
        <v>0</v>
      </c>
      <c r="N69" s="490"/>
    </row>
    <row r="70" spans="2:14" x14ac:dyDescent="0.2">
      <c r="B70" s="501" t="s">
        <v>393</v>
      </c>
      <c r="C70" s="757">
        <v>275557</v>
      </c>
      <c r="D70" s="757">
        <v>5768</v>
      </c>
      <c r="E70" s="757">
        <v>485150</v>
      </c>
      <c r="F70" s="757">
        <v>276122</v>
      </c>
      <c r="G70" s="757">
        <v>146792</v>
      </c>
      <c r="H70" s="758">
        <v>0</v>
      </c>
      <c r="I70" s="758">
        <v>0</v>
      </c>
      <c r="J70" s="758">
        <v>0</v>
      </c>
      <c r="K70" s="758">
        <v>0</v>
      </c>
      <c r="L70" s="758">
        <v>0</v>
      </c>
      <c r="M70" s="758">
        <v>0</v>
      </c>
      <c r="N70" s="490"/>
    </row>
    <row r="71" spans="2:14" x14ac:dyDescent="0.2">
      <c r="B71" s="749" t="s">
        <v>394</v>
      </c>
      <c r="C71" s="755">
        <f>SUM(C66,C70)</f>
        <v>11031689</v>
      </c>
      <c r="D71" s="755">
        <f t="shared" ref="D71:G71" si="8">SUM(D66,D70)</f>
        <v>12512707</v>
      </c>
      <c r="E71" s="755">
        <f t="shared" si="8"/>
        <v>12472676</v>
      </c>
      <c r="F71" s="755">
        <f t="shared" si="8"/>
        <v>6721305</v>
      </c>
      <c r="G71" s="755">
        <f t="shared" si="8"/>
        <v>2573546</v>
      </c>
      <c r="H71" s="759">
        <f>SUM(H66,H70)</f>
        <v>8888842.5254889131</v>
      </c>
      <c r="I71" s="759">
        <f t="shared" ref="I71:M71" si="9">SUM(I66,I70)</f>
        <v>9473293.19006061</v>
      </c>
      <c r="J71" s="759">
        <f t="shared" si="9"/>
        <v>9497503.3541304935</v>
      </c>
      <c r="K71" s="759">
        <f t="shared" si="9"/>
        <v>9713773.1614121739</v>
      </c>
      <c r="L71" s="759">
        <f t="shared" si="9"/>
        <v>9822205.1285913978</v>
      </c>
      <c r="M71" s="759">
        <f t="shared" si="9"/>
        <v>10225521.981766842</v>
      </c>
      <c r="N71" s="490"/>
    </row>
    <row r="72" spans="2:14" x14ac:dyDescent="0.2">
      <c r="B72" s="747"/>
      <c r="C72" s="489"/>
      <c r="D72" s="489"/>
      <c r="E72" s="489"/>
      <c r="F72" s="489"/>
      <c r="G72" s="489"/>
      <c r="H72" s="754"/>
      <c r="I72" s="754"/>
      <c r="J72" s="754"/>
      <c r="K72" s="754"/>
      <c r="L72" s="754"/>
      <c r="M72" s="754"/>
      <c r="N72" s="490"/>
    </row>
    <row r="73" spans="2:14" x14ac:dyDescent="0.2">
      <c r="B73" s="747" t="s">
        <v>220</v>
      </c>
      <c r="C73" s="489"/>
      <c r="D73" s="489"/>
      <c r="E73" s="489"/>
      <c r="F73" s="489"/>
      <c r="G73" s="489"/>
      <c r="H73" s="754"/>
      <c r="I73" s="754"/>
      <c r="J73" s="754"/>
      <c r="K73" s="754"/>
      <c r="L73" s="754"/>
      <c r="M73" s="754"/>
      <c r="N73" s="490"/>
    </row>
    <row r="74" spans="2:14" x14ac:dyDescent="0.2">
      <c r="B74" s="747" t="s">
        <v>371</v>
      </c>
      <c r="C74" s="489">
        <v>3146265</v>
      </c>
      <c r="D74" s="489">
        <v>3146265</v>
      </c>
      <c r="E74" s="489">
        <v>3146265</v>
      </c>
      <c r="F74" s="489">
        <v>3146265</v>
      </c>
      <c r="G74" s="489">
        <v>3146265</v>
      </c>
      <c r="H74" s="754">
        <f>Sch_Deb!P$46</f>
        <v>3604476.5240000002</v>
      </c>
      <c r="I74" s="754">
        <f>Sch_Deb!Q$46</f>
        <v>3604476.5240000002</v>
      </c>
      <c r="J74" s="754">
        <f>Sch_Deb!R$46</f>
        <v>3604476.5240000002</v>
      </c>
      <c r="K74" s="754">
        <f>Sch_Deb!S$46</f>
        <v>3604476.5240000002</v>
      </c>
      <c r="L74" s="754">
        <f>Sch_Deb!T$46</f>
        <v>3604476.5240000002</v>
      </c>
      <c r="M74" s="754">
        <f>Sch_Deb!U$46</f>
        <v>3604476.5240000002</v>
      </c>
      <c r="N74" s="490"/>
    </row>
    <row r="75" spans="2:14" x14ac:dyDescent="0.2">
      <c r="B75" s="747" t="s">
        <v>395</v>
      </c>
      <c r="C75" s="489">
        <v>475118</v>
      </c>
      <c r="D75" s="489">
        <v>218971</v>
      </c>
      <c r="E75" s="489">
        <v>352272</v>
      </c>
      <c r="F75" s="489">
        <v>-4193615</v>
      </c>
      <c r="G75" s="489">
        <v>-8841106</v>
      </c>
      <c r="H75" s="754">
        <f>Sch_Deb!P$47</f>
        <v>47684.656384536975</v>
      </c>
      <c r="I75" s="754">
        <f>Sch_Deb!Q$47</f>
        <v>95369.312769073949</v>
      </c>
      <c r="J75" s="754">
        <f>Sch_Deb!R$47</f>
        <v>143053.96915361093</v>
      </c>
      <c r="K75" s="754">
        <f>Sch_Deb!S$47</f>
        <v>190738.6255381479</v>
      </c>
      <c r="L75" s="754">
        <f>Sch_Deb!T$47</f>
        <v>238423.28192268487</v>
      </c>
      <c r="M75" s="754">
        <f>Sch_Deb!U$47</f>
        <v>286107.93830722186</v>
      </c>
      <c r="N75" s="490"/>
    </row>
    <row r="76" spans="2:14" x14ac:dyDescent="0.2">
      <c r="B76" s="747" t="s">
        <v>373</v>
      </c>
      <c r="C76" s="489">
        <v>-178</v>
      </c>
      <c r="D76" s="489">
        <v>-178</v>
      </c>
      <c r="E76" s="489">
        <v>-178</v>
      </c>
      <c r="F76" s="489">
        <v>-178</v>
      </c>
      <c r="G76" s="489">
        <v>-178</v>
      </c>
      <c r="H76" s="754">
        <f>Sch_Deb!P$48</f>
        <v>-178</v>
      </c>
      <c r="I76" s="754">
        <f>Sch_Deb!Q$48</f>
        <v>-178</v>
      </c>
      <c r="J76" s="754">
        <f>Sch_Deb!R$48</f>
        <v>-178</v>
      </c>
      <c r="K76" s="754">
        <f>Sch_Deb!S$48</f>
        <v>-178</v>
      </c>
      <c r="L76" s="754">
        <f>Sch_Deb!T$48</f>
        <v>-178</v>
      </c>
      <c r="M76" s="754">
        <f>Sch_Deb!U$48</f>
        <v>-178</v>
      </c>
      <c r="N76" s="490"/>
    </row>
    <row r="77" spans="2:14" x14ac:dyDescent="0.2">
      <c r="B77" s="747" t="s">
        <v>374</v>
      </c>
      <c r="C77" s="489">
        <v>554884</v>
      </c>
      <c r="D77" s="489">
        <v>-4365</v>
      </c>
      <c r="E77" s="489">
        <v>-367577</v>
      </c>
      <c r="F77" s="489">
        <v>-1388185</v>
      </c>
      <c r="G77" s="489">
        <v>-1361529</v>
      </c>
      <c r="H77" s="754">
        <f>Sch_Deb!P$49</f>
        <v>-367577</v>
      </c>
      <c r="I77" s="754">
        <f>Sch_Deb!Q$49</f>
        <v>-367577</v>
      </c>
      <c r="J77" s="754">
        <f>Sch_Deb!R$49</f>
        <v>-367577</v>
      </c>
      <c r="K77" s="754">
        <f>Sch_Deb!S$49</f>
        <v>-367577</v>
      </c>
      <c r="L77" s="754">
        <f>Sch_Deb!T$49</f>
        <v>-367577</v>
      </c>
      <c r="M77" s="754">
        <f>Sch_Deb!U$49</f>
        <v>-367577</v>
      </c>
      <c r="N77" s="490"/>
    </row>
    <row r="78" spans="2:14" x14ac:dyDescent="0.2">
      <c r="B78" s="749" t="s">
        <v>396</v>
      </c>
      <c r="C78" s="755">
        <v>4176089</v>
      </c>
      <c r="D78" s="755">
        <v>3360693</v>
      </c>
      <c r="E78" s="755">
        <v>3130782</v>
      </c>
      <c r="F78" s="755">
        <v>-2435713</v>
      </c>
      <c r="G78" s="755">
        <v>-7056548</v>
      </c>
      <c r="H78" s="755">
        <f t="shared" ref="H78:M78" si="10">SUM(H74:H77)</f>
        <v>3284406.1803845372</v>
      </c>
      <c r="I78" s="755">
        <f t="shared" si="10"/>
        <v>3332090.8367690742</v>
      </c>
      <c r="J78" s="755">
        <f t="shared" si="10"/>
        <v>3379775.4931536112</v>
      </c>
      <c r="K78" s="755">
        <f t="shared" si="10"/>
        <v>3427460.1495381482</v>
      </c>
      <c r="L78" s="755">
        <f t="shared" si="10"/>
        <v>3475144.8059226852</v>
      </c>
      <c r="M78" s="755">
        <f t="shared" si="10"/>
        <v>3522829.4623072222</v>
      </c>
      <c r="N78" s="490"/>
    </row>
    <row r="79" spans="2:14" x14ac:dyDescent="0.2">
      <c r="B79" s="747" t="s">
        <v>397</v>
      </c>
      <c r="C79" s="489">
        <v>91147</v>
      </c>
      <c r="D79" s="489">
        <v>79908</v>
      </c>
      <c r="E79" s="489">
        <v>-1605</v>
      </c>
      <c r="F79" s="489">
        <v>-6672</v>
      </c>
      <c r="G79" s="489">
        <v>-10356</v>
      </c>
      <c r="H79" s="754">
        <f>Sch_Deb!P53</f>
        <v>-8040.6563845369965</v>
      </c>
      <c r="I79" s="754">
        <f>Sch_Deb!Q53</f>
        <v>-5725.312769073993</v>
      </c>
      <c r="J79" s="754">
        <f>Sch_Deb!R53</f>
        <v>-3409.9691536109895</v>
      </c>
      <c r="K79" s="754">
        <f>Sch_Deb!S53</f>
        <v>-1094.6255381479859</v>
      </c>
      <c r="L79" s="754">
        <f>Sch_Deb!T53</f>
        <v>1220.7180773150176</v>
      </c>
      <c r="M79" s="754">
        <f>Sch_Deb!U53</f>
        <v>3536.0616927780211</v>
      </c>
      <c r="N79" s="490"/>
    </row>
    <row r="80" spans="2:14" x14ac:dyDescent="0.2">
      <c r="B80" s="749" t="s">
        <v>398</v>
      </c>
      <c r="C80" s="755">
        <f>SUM(C78:C79)</f>
        <v>4267236</v>
      </c>
      <c r="D80" s="755">
        <f t="shared" ref="D80:M80" si="11">SUM(D78:D79)</f>
        <v>3440601</v>
      </c>
      <c r="E80" s="755">
        <f t="shared" si="11"/>
        <v>3129177</v>
      </c>
      <c r="F80" s="755">
        <f t="shared" si="11"/>
        <v>-2442385</v>
      </c>
      <c r="G80" s="755">
        <f t="shared" si="11"/>
        <v>-7066904</v>
      </c>
      <c r="H80" s="755">
        <f>SUM(H78:H79)</f>
        <v>3276365.5240000002</v>
      </c>
      <c r="I80" s="755">
        <f t="shared" si="11"/>
        <v>3326365.5240000002</v>
      </c>
      <c r="J80" s="755">
        <f t="shared" si="11"/>
        <v>3376365.5240000002</v>
      </c>
      <c r="K80" s="755">
        <f t="shared" si="11"/>
        <v>3426365.5240000002</v>
      </c>
      <c r="L80" s="755">
        <f t="shared" si="11"/>
        <v>3476365.5240000002</v>
      </c>
      <c r="M80" s="755">
        <f t="shared" si="11"/>
        <v>3526365.5240000002</v>
      </c>
      <c r="N80" s="490"/>
    </row>
    <row r="81" spans="2:14" x14ac:dyDescent="0.2">
      <c r="B81" s="747"/>
      <c r="C81" s="760"/>
      <c r="D81" s="760"/>
      <c r="E81" s="760"/>
      <c r="F81" s="760"/>
      <c r="G81" s="760"/>
      <c r="H81" s="754"/>
      <c r="I81" s="754"/>
      <c r="J81" s="754"/>
      <c r="K81" s="754"/>
      <c r="L81" s="754"/>
      <c r="M81" s="754"/>
      <c r="N81" s="490"/>
    </row>
    <row r="82" spans="2:14" x14ac:dyDescent="0.2">
      <c r="B82" s="747" t="s">
        <v>399</v>
      </c>
      <c r="C82" s="489"/>
      <c r="D82" s="489"/>
      <c r="E82" s="489"/>
      <c r="F82" s="489"/>
      <c r="G82" s="489"/>
      <c r="H82" s="754"/>
      <c r="I82" s="754"/>
      <c r="J82" s="754"/>
      <c r="K82" s="754"/>
      <c r="L82" s="754"/>
      <c r="M82" s="754"/>
      <c r="N82" s="490"/>
    </row>
    <row r="83" spans="2:14" x14ac:dyDescent="0.2">
      <c r="B83" s="747" t="s">
        <v>400</v>
      </c>
      <c r="C83" s="489">
        <v>7906457</v>
      </c>
      <c r="D83" s="489">
        <v>10153748</v>
      </c>
      <c r="E83" s="489">
        <v>10416078</v>
      </c>
      <c r="F83" s="489">
        <v>10859531</v>
      </c>
      <c r="G83" s="489">
        <v>10402153</v>
      </c>
      <c r="H83" s="754">
        <f>Sch_Deb!P$30</f>
        <v>6705225</v>
      </c>
      <c r="I83" s="754" t="e">
        <f>Sch_Deb!Q$30</f>
        <v>#REF!</v>
      </c>
      <c r="J83" s="754" t="e">
        <f>Sch_Deb!R$30</f>
        <v>#REF!</v>
      </c>
      <c r="K83" s="754" t="e">
        <f>Sch_Deb!S$30</f>
        <v>#REF!</v>
      </c>
      <c r="L83" s="754" t="e">
        <f>Sch_Deb!T$30</f>
        <v>#REF!</v>
      </c>
      <c r="M83" s="754" t="e">
        <f>Sch_Deb!U$30</f>
        <v>#REF!</v>
      </c>
      <c r="N83" s="490"/>
    </row>
    <row r="84" spans="2:14" x14ac:dyDescent="0.2">
      <c r="B84" s="747" t="s">
        <v>401</v>
      </c>
      <c r="C84" s="489">
        <v>-1142004</v>
      </c>
      <c r="D84" s="489">
        <v>-1081642</v>
      </c>
      <c r="E84" s="489">
        <v>-1072579</v>
      </c>
      <c r="F84" s="489">
        <v>-1695841</v>
      </c>
      <c r="G84" s="489">
        <v>-1046835</v>
      </c>
      <c r="H84" s="754">
        <f>-Sch_Deb!P$76</f>
        <v>-2569464.27031375</v>
      </c>
      <c r="I84" s="754" t="e">
        <f>-Sch_Deb!Q$76</f>
        <v>#REF!</v>
      </c>
      <c r="J84" s="754" t="e">
        <f>-Sch_Deb!R$76</f>
        <v>#REF!</v>
      </c>
      <c r="K84" s="754" t="e">
        <f>-Sch_Deb!S$76</f>
        <v>#REF!</v>
      </c>
      <c r="L84" s="754" t="e">
        <f>-Sch_Deb!T$76</f>
        <v>#REF!</v>
      </c>
      <c r="M84" s="754" t="e">
        <f>-Sch_Deb!U$76</f>
        <v>#REF!</v>
      </c>
      <c r="N84" s="490"/>
    </row>
    <row r="85" spans="2:14" x14ac:dyDescent="0.2">
      <c r="B85" s="750" t="s">
        <v>402</v>
      </c>
      <c r="C85" s="757">
        <v>6764453</v>
      </c>
      <c r="D85" s="757">
        <v>9072106</v>
      </c>
      <c r="E85" s="757">
        <v>9343499</v>
      </c>
      <c r="F85" s="757">
        <v>9163690</v>
      </c>
      <c r="G85" s="757">
        <v>9355318</v>
      </c>
      <c r="H85" s="758">
        <f>SUM(H83:H84)</f>
        <v>4135760.72968625</v>
      </c>
      <c r="I85" s="758" t="e">
        <f t="shared" ref="I85:M85" si="12">SUM(I83:I84)</f>
        <v>#REF!</v>
      </c>
      <c r="J85" s="758" t="e">
        <f t="shared" si="12"/>
        <v>#REF!</v>
      </c>
      <c r="K85" s="758" t="e">
        <f t="shared" si="12"/>
        <v>#REF!</v>
      </c>
      <c r="L85" s="758" t="e">
        <f t="shared" si="12"/>
        <v>#REF!</v>
      </c>
      <c r="M85" s="758" t="e">
        <f t="shared" si="12"/>
        <v>#REF!</v>
      </c>
      <c r="N85" s="490"/>
    </row>
    <row r="86" spans="2:14" x14ac:dyDescent="0.2">
      <c r="B86" s="747" t="s">
        <v>403</v>
      </c>
      <c r="C86" s="489">
        <v>11031689</v>
      </c>
      <c r="D86" s="489">
        <v>12512707</v>
      </c>
      <c r="E86" s="489">
        <v>12472676</v>
      </c>
      <c r="F86" s="489">
        <v>6721305</v>
      </c>
      <c r="G86" s="489">
        <v>2288413.9999999995</v>
      </c>
      <c r="H86" s="754">
        <f t="shared" ref="H86:M86" si="13">SUM(H80,H85)</f>
        <v>7412126.2536862502</v>
      </c>
      <c r="I86" s="754" t="e">
        <f t="shared" si="13"/>
        <v>#REF!</v>
      </c>
      <c r="J86" s="754" t="e">
        <f t="shared" si="13"/>
        <v>#REF!</v>
      </c>
      <c r="K86" s="754" t="e">
        <f t="shared" si="13"/>
        <v>#REF!</v>
      </c>
      <c r="L86" s="754" t="e">
        <f t="shared" si="13"/>
        <v>#REF!</v>
      </c>
      <c r="M86" s="754" t="e">
        <f t="shared" si="13"/>
        <v>#REF!</v>
      </c>
      <c r="N86" s="490"/>
    </row>
    <row r="87" spans="2:14" x14ac:dyDescent="0.2">
      <c r="C87" s="489"/>
      <c r="D87" s="489"/>
      <c r="E87" s="489"/>
      <c r="F87" s="489"/>
      <c r="G87" s="489"/>
      <c r="H87" s="754"/>
      <c r="I87" s="754"/>
      <c r="J87" s="754"/>
      <c r="K87" s="754"/>
      <c r="L87" s="754"/>
      <c r="M87" s="754"/>
      <c r="N87" s="490"/>
    </row>
    <row r="88" spans="2:14" x14ac:dyDescent="0.2">
      <c r="C88" s="489"/>
      <c r="D88" s="489"/>
      <c r="E88" s="489"/>
      <c r="F88" s="489"/>
      <c r="G88" s="489"/>
      <c r="H88" s="490"/>
      <c r="I88" s="490"/>
      <c r="J88" s="490"/>
      <c r="K88" s="490"/>
      <c r="L88" s="490"/>
      <c r="M88" s="490"/>
      <c r="N88" s="490"/>
    </row>
    <row r="89" spans="2:14" x14ac:dyDescent="0.2">
      <c r="C89" s="489"/>
      <c r="D89" s="489"/>
      <c r="E89" s="489"/>
      <c r="F89" s="489"/>
      <c r="G89" s="489"/>
      <c r="H89" s="490"/>
      <c r="I89" s="490"/>
      <c r="J89" s="490"/>
      <c r="K89" s="490"/>
      <c r="L89" s="490"/>
      <c r="M89" s="490"/>
      <c r="N89" s="490"/>
    </row>
  </sheetData>
  <mergeCells count="1">
    <mergeCell ref="A1:B1"/>
  </mergeCells>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BAD1A-DC79-4B41-84D8-D8E5942CF4FF}">
  <sheetPr>
    <tabColor theme="5" tint="0.39997558519241921"/>
    <outlinePr summaryBelow="0"/>
  </sheetPr>
  <dimension ref="A1:M125"/>
  <sheetViews>
    <sheetView zoomScale="70" zoomScaleNormal="70" workbookViewId="0">
      <selection activeCell="E54" sqref="E54:H54"/>
    </sheetView>
  </sheetViews>
  <sheetFormatPr baseColWidth="10" defaultColWidth="8.83203125" defaultRowHeight="15" x14ac:dyDescent="0.2"/>
  <cols>
    <col min="1" max="1" width="13.6640625" style="968" bestFit="1" customWidth="1"/>
    <col min="2" max="2" width="27.1640625" style="968" bestFit="1" customWidth="1"/>
    <col min="3" max="3" width="20" style="968" bestFit="1" customWidth="1"/>
    <col min="4" max="13" width="12.33203125" style="968" bestFit="1" customWidth="1"/>
    <col min="14" max="16384" width="8.83203125" style="968"/>
  </cols>
  <sheetData>
    <row r="1" spans="1:13" ht="112" collapsed="1" x14ac:dyDescent="0.2">
      <c r="A1" s="1006" t="s">
        <v>1315</v>
      </c>
      <c r="B1" s="1006" t="s">
        <v>1316</v>
      </c>
      <c r="C1" s="1006" t="s">
        <v>1317</v>
      </c>
      <c r="D1" s="1006" t="s">
        <v>1318</v>
      </c>
      <c r="E1" s="1006" t="s">
        <v>1319</v>
      </c>
      <c r="F1" s="1006" t="s">
        <v>1320</v>
      </c>
      <c r="G1" s="1006" t="s">
        <v>1321</v>
      </c>
      <c r="H1" s="1006" t="s">
        <v>1322</v>
      </c>
      <c r="I1" s="1006" t="s">
        <v>1323</v>
      </c>
      <c r="J1" s="1006" t="s">
        <v>1324</v>
      </c>
      <c r="K1" s="1006" t="s">
        <v>1325</v>
      </c>
      <c r="L1" s="1006" t="s">
        <v>1326</v>
      </c>
      <c r="M1" s="1006" t="s">
        <v>1327</v>
      </c>
    </row>
    <row r="2" spans="1:13" collapsed="1" x14ac:dyDescent="0.2">
      <c r="A2" s="969" t="s">
        <v>1328</v>
      </c>
      <c r="B2" s="969" t="s">
        <v>1329</v>
      </c>
      <c r="C2" s="969" t="s">
        <v>1191</v>
      </c>
      <c r="D2" s="1007"/>
      <c r="E2" s="1007"/>
      <c r="F2" s="1007"/>
      <c r="G2" s="1007"/>
      <c r="H2" s="1007"/>
      <c r="I2" s="1007">
        <v>12.307820798186301</v>
      </c>
      <c r="J2" s="1007"/>
      <c r="K2" s="1007">
        <v>1.2937510210496299</v>
      </c>
      <c r="L2" s="1007"/>
      <c r="M2" s="1007">
        <v>-8.8172605220599998E-3</v>
      </c>
    </row>
    <row r="3" spans="1:13" collapsed="1" x14ac:dyDescent="0.2">
      <c r="A3" s="969" t="s">
        <v>1330</v>
      </c>
      <c r="B3" s="969" t="s">
        <v>1331</v>
      </c>
      <c r="C3" s="969" t="s">
        <v>1332</v>
      </c>
      <c r="D3" s="1007">
        <v>4.0178818350011296</v>
      </c>
      <c r="E3" s="1007">
        <v>11.1825650676926</v>
      </c>
      <c r="F3" s="1007">
        <v>0.41615413076269298</v>
      </c>
      <c r="G3" s="1007">
        <v>12.2952844742852</v>
      </c>
      <c r="H3" s="1007">
        <v>1.40988994027115</v>
      </c>
      <c r="I3" s="1007">
        <v>4.8116697139954603</v>
      </c>
      <c r="J3" s="1007">
        <v>19.3911545784648</v>
      </c>
      <c r="K3" s="1007">
        <v>0.49968459957962702</v>
      </c>
      <c r="L3" s="1007"/>
      <c r="M3" s="1007">
        <v>0.94683617366502904</v>
      </c>
    </row>
    <row r="4" spans="1:13" collapsed="1" x14ac:dyDescent="0.2">
      <c r="A4" s="969" t="s">
        <v>1333</v>
      </c>
      <c r="B4" s="969" t="s">
        <v>1334</v>
      </c>
      <c r="C4" s="969" t="s">
        <v>1310</v>
      </c>
      <c r="D4" s="1007">
        <v>6.3126832867012403</v>
      </c>
      <c r="E4" s="1007">
        <v>22.221595339835201</v>
      </c>
      <c r="F4" s="1007">
        <v>1.35650203624299</v>
      </c>
      <c r="G4" s="1007">
        <v>25.8629603882362</v>
      </c>
      <c r="H4" s="1007">
        <v>0.88385017747057704</v>
      </c>
      <c r="I4" s="1007">
        <v>9.9490330183696294</v>
      </c>
      <c r="J4" s="1007"/>
      <c r="K4" s="1007">
        <v>2.37475365621551</v>
      </c>
      <c r="L4" s="1007"/>
      <c r="M4" s="1007">
        <v>0.71203596759245802</v>
      </c>
    </row>
    <row r="5" spans="1:13" collapsed="1" x14ac:dyDescent="0.2">
      <c r="A5" s="969" t="s">
        <v>1335</v>
      </c>
      <c r="B5" s="969" t="s">
        <v>1336</v>
      </c>
      <c r="C5" s="969" t="s">
        <v>1306</v>
      </c>
      <c r="D5" s="1007">
        <v>3.3875832129662</v>
      </c>
      <c r="E5" s="1007">
        <v>5.7702169064142197</v>
      </c>
      <c r="F5" s="1007">
        <v>0.478098032386919</v>
      </c>
      <c r="G5" s="1007">
        <v>9.5746759257130094</v>
      </c>
      <c r="H5" s="1007">
        <v>1.41336633663366</v>
      </c>
      <c r="I5" s="1007">
        <v>5.0667558664718202</v>
      </c>
      <c r="J5" s="1007">
        <v>8.8575768614598704</v>
      </c>
      <c r="K5" s="1007">
        <v>0.53540173395985102</v>
      </c>
      <c r="L5" s="1007">
        <v>154.61684267533201</v>
      </c>
      <c r="M5" s="1007">
        <v>1.5143182665983601</v>
      </c>
    </row>
    <row r="6" spans="1:13" collapsed="1" x14ac:dyDescent="0.2">
      <c r="A6" s="969" t="s">
        <v>1337</v>
      </c>
      <c r="B6" s="969" t="s">
        <v>1338</v>
      </c>
      <c r="C6" s="969" t="s">
        <v>1311</v>
      </c>
      <c r="D6" s="1007">
        <v>16.0717360175633</v>
      </c>
      <c r="E6" s="1007"/>
      <c r="F6" s="1007">
        <v>0.52164454058592702</v>
      </c>
      <c r="G6" s="1007"/>
      <c r="H6" s="1007">
        <v>-0.14986807387862799</v>
      </c>
      <c r="I6" s="1007"/>
      <c r="J6" s="1007"/>
      <c r="K6" s="1007">
        <v>1.23160879043073</v>
      </c>
      <c r="L6" s="1007"/>
      <c r="M6" s="1007">
        <v>-0.169710394848027</v>
      </c>
    </row>
    <row r="7" spans="1:13" collapsed="1" x14ac:dyDescent="0.2">
      <c r="A7" s="969" t="s">
        <v>1339</v>
      </c>
      <c r="B7" s="969" t="s">
        <v>1340</v>
      </c>
      <c r="C7" s="969" t="s">
        <v>1308</v>
      </c>
      <c r="D7" s="1007">
        <v>2.9899181602657401</v>
      </c>
      <c r="E7" s="1007">
        <v>10.8906109050337</v>
      </c>
      <c r="F7" s="1007">
        <v>0.38694849082833199</v>
      </c>
      <c r="G7" s="1007">
        <v>12.2048842766227</v>
      </c>
      <c r="H7" s="1007">
        <v>-0.64926337554923796</v>
      </c>
      <c r="I7" s="1007">
        <v>3.0033395585897802</v>
      </c>
      <c r="J7" s="1007">
        <v>11.5727388384927</v>
      </c>
      <c r="K7" s="1007">
        <v>0.445105339942025</v>
      </c>
      <c r="L7" s="1007"/>
      <c r="M7" s="1007">
        <v>-0.97361456257775003</v>
      </c>
    </row>
    <row r="8" spans="1:13" collapsed="1" x14ac:dyDescent="0.2">
      <c r="A8" s="969" t="s">
        <v>1341</v>
      </c>
      <c r="B8" s="969" t="s">
        <v>1342</v>
      </c>
      <c r="C8" s="969" t="s">
        <v>1306</v>
      </c>
      <c r="D8" s="1007"/>
      <c r="E8" s="1007"/>
      <c r="F8" s="1007"/>
      <c r="G8" s="1007"/>
      <c r="H8" s="1007"/>
      <c r="I8" s="1007"/>
      <c r="J8" s="1007"/>
      <c r="K8" s="1007">
        <v>12.899295683992101</v>
      </c>
      <c r="L8" s="1007"/>
      <c r="M8" s="1007">
        <v>-9.8471680056001407</v>
      </c>
    </row>
    <row r="9" spans="1:13" collapsed="1" x14ac:dyDescent="0.2">
      <c r="A9" s="969" t="s">
        <v>1343</v>
      </c>
      <c r="B9" s="969" t="s">
        <v>1344</v>
      </c>
      <c r="C9" s="969" t="s">
        <v>1345</v>
      </c>
      <c r="D9" s="1007">
        <v>5.7055431287528204</v>
      </c>
      <c r="E9" s="1007">
        <v>13.7023046221261</v>
      </c>
      <c r="F9" s="1007">
        <v>1.0716212529028399</v>
      </c>
      <c r="G9" s="1007">
        <v>17.123436842770801</v>
      </c>
      <c r="H9" s="1007">
        <v>1.3839596649764001</v>
      </c>
      <c r="I9" s="1007">
        <v>20.6094962091538</v>
      </c>
      <c r="J9" s="1007"/>
      <c r="K9" s="1007">
        <v>1.5359023894033901</v>
      </c>
      <c r="L9" s="1007"/>
      <c r="M9" s="1007">
        <v>1.48183944035097</v>
      </c>
    </row>
    <row r="10" spans="1:13" collapsed="1" x14ac:dyDescent="0.2">
      <c r="A10" s="969" t="s">
        <v>1346</v>
      </c>
      <c r="B10" s="969" t="s">
        <v>1347</v>
      </c>
      <c r="C10" s="969" t="s">
        <v>1348</v>
      </c>
      <c r="D10" s="1007"/>
      <c r="E10" s="1007"/>
      <c r="F10" s="1007"/>
      <c r="G10" s="1007"/>
      <c r="H10" s="1007"/>
      <c r="I10" s="1007">
        <v>5.6202154766185402</v>
      </c>
      <c r="J10" s="1007">
        <v>9.5822590105991505</v>
      </c>
      <c r="K10" s="1007">
        <v>1.44298732590906</v>
      </c>
      <c r="L10" s="1007">
        <v>0.78127172498175901</v>
      </c>
      <c r="M10" s="1007">
        <v>822.68249991180596</v>
      </c>
    </row>
    <row r="11" spans="1:13" collapsed="1" x14ac:dyDescent="0.2">
      <c r="A11" s="969" t="s">
        <v>1349</v>
      </c>
      <c r="B11" s="969" t="s">
        <v>1350</v>
      </c>
      <c r="C11" s="969" t="s">
        <v>1351</v>
      </c>
      <c r="D11" s="1007">
        <v>2.48530555715586</v>
      </c>
      <c r="E11" s="1007">
        <v>3.9440889178638399</v>
      </c>
      <c r="F11" s="1007">
        <v>0.26344957665596203</v>
      </c>
      <c r="G11" s="1007">
        <v>8.8199587966306794</v>
      </c>
      <c r="H11" s="1007">
        <v>1.7708143559847001</v>
      </c>
      <c r="I11" s="1007"/>
      <c r="J11" s="1007"/>
      <c r="K11" s="1007">
        <v>1.0751538107932099</v>
      </c>
      <c r="L11" s="1007"/>
      <c r="M11" s="1007">
        <v>2.2103460610288299</v>
      </c>
    </row>
    <row r="12" spans="1:13" collapsed="1" x14ac:dyDescent="0.2">
      <c r="A12" s="969" t="s">
        <v>1352</v>
      </c>
      <c r="B12" s="969" t="s">
        <v>1353</v>
      </c>
      <c r="C12" s="969" t="s">
        <v>1312</v>
      </c>
      <c r="D12" s="1007">
        <v>13.373779104197</v>
      </c>
      <c r="E12" s="1007"/>
      <c r="F12" s="1007">
        <v>2.8658440337615798</v>
      </c>
      <c r="G12" s="1007"/>
      <c r="H12" s="1007">
        <v>3.7594537043835801</v>
      </c>
      <c r="I12" s="1007"/>
      <c r="J12" s="1007"/>
      <c r="K12" s="1007">
        <v>5.6001963096959804</v>
      </c>
      <c r="L12" s="1007"/>
      <c r="M12" s="1007">
        <v>4.13509341930689</v>
      </c>
    </row>
    <row r="13" spans="1:13" collapsed="1" x14ac:dyDescent="0.2">
      <c r="A13" s="969" t="s">
        <v>1354</v>
      </c>
      <c r="B13" s="969" t="s">
        <v>1355</v>
      </c>
      <c r="C13" s="969" t="s">
        <v>1306</v>
      </c>
      <c r="D13" s="1007">
        <v>4.6626648897493999</v>
      </c>
      <c r="E13" s="1007">
        <v>13.3060210570909</v>
      </c>
      <c r="F13" s="1007">
        <v>1.0613063143928501</v>
      </c>
      <c r="G13" s="1007">
        <v>7.08906882591093</v>
      </c>
      <c r="H13" s="1007">
        <v>0.44600101884870103</v>
      </c>
      <c r="I13" s="1007">
        <v>5.0071006723743103</v>
      </c>
      <c r="J13" s="1007">
        <v>13.216416423721199</v>
      </c>
      <c r="K13" s="1007">
        <v>1.0620467439435</v>
      </c>
      <c r="L13" s="1007">
        <v>7.1260550712605504</v>
      </c>
      <c r="M13" s="1007">
        <v>0.36977259998978701</v>
      </c>
    </row>
    <row r="14" spans="1:13" collapsed="1" x14ac:dyDescent="0.2">
      <c r="A14" s="969" t="s">
        <v>1356</v>
      </c>
      <c r="B14" s="969" t="s">
        <v>1357</v>
      </c>
      <c r="C14" s="969" t="s">
        <v>1306</v>
      </c>
      <c r="D14" s="1007">
        <v>4.3268795283995098</v>
      </c>
      <c r="E14" s="1007">
        <v>6.7273866305058903</v>
      </c>
      <c r="F14" s="1007">
        <v>0.66378501235006804</v>
      </c>
      <c r="G14" s="1007">
        <v>12.6838996743815</v>
      </c>
      <c r="H14" s="1007">
        <v>1.99569237234713</v>
      </c>
      <c r="I14" s="1007">
        <v>5.9511302071631702</v>
      </c>
      <c r="J14" s="1007">
        <v>10.6737332313054</v>
      </c>
      <c r="K14" s="1007">
        <v>0.77467230564315004</v>
      </c>
      <c r="L14" s="1007">
        <v>29.843828557063901</v>
      </c>
      <c r="M14" s="1007">
        <v>2.0648698718427401</v>
      </c>
    </row>
    <row r="15" spans="1:13" collapsed="1" x14ac:dyDescent="0.2">
      <c r="A15" s="969" t="s">
        <v>1358</v>
      </c>
      <c r="B15" s="969" t="s">
        <v>1359</v>
      </c>
      <c r="C15" s="969" t="s">
        <v>1360</v>
      </c>
      <c r="D15" s="1007">
        <v>4.5234315995413601</v>
      </c>
      <c r="E15" s="1007">
        <v>9.8266734674809797</v>
      </c>
      <c r="F15" s="1007">
        <v>0.872029374733992</v>
      </c>
      <c r="G15" s="1007">
        <v>5.7775665031211396</v>
      </c>
      <c r="H15" s="1007">
        <v>0.98264996535208105</v>
      </c>
      <c r="I15" s="1007">
        <v>3.66196235978137</v>
      </c>
      <c r="J15" s="1007">
        <v>6.0952837678803702</v>
      </c>
      <c r="K15" s="1007">
        <v>0.98851179894116104</v>
      </c>
      <c r="L15" s="1007">
        <v>3.20634426478337</v>
      </c>
      <c r="M15" s="1007">
        <v>0.80704457325755496</v>
      </c>
    </row>
    <row r="16" spans="1:13" collapsed="1" x14ac:dyDescent="0.2">
      <c r="A16" s="969" t="s">
        <v>1361</v>
      </c>
      <c r="B16" s="969" t="s">
        <v>1362</v>
      </c>
      <c r="C16" s="969" t="s">
        <v>1306</v>
      </c>
      <c r="D16" s="1007">
        <v>5.2455848926585</v>
      </c>
      <c r="E16" s="1007">
        <v>25.701097080139299</v>
      </c>
      <c r="F16" s="1007">
        <v>0.340968130702483</v>
      </c>
      <c r="G16" s="1007"/>
      <c r="H16" s="1007">
        <v>1.5211117049706</v>
      </c>
      <c r="I16" s="1007"/>
      <c r="J16" s="1007"/>
      <c r="K16" s="1007">
        <v>0.42826766363502999</v>
      </c>
      <c r="L16" s="1007"/>
      <c r="M16" s="1007">
        <v>2.1053788766569501</v>
      </c>
    </row>
    <row r="17" spans="1:13" collapsed="1" x14ac:dyDescent="0.2">
      <c r="A17" s="969" t="s">
        <v>1363</v>
      </c>
      <c r="B17" s="969" t="s">
        <v>1364</v>
      </c>
      <c r="C17" s="969" t="s">
        <v>1365</v>
      </c>
      <c r="D17" s="1007">
        <v>3.6096655170621901</v>
      </c>
      <c r="E17" s="1007">
        <v>7.5925534882758603</v>
      </c>
      <c r="F17" s="1007">
        <v>0.85165359464644197</v>
      </c>
      <c r="G17" s="1007">
        <v>14.2066062306496</v>
      </c>
      <c r="H17" s="1007">
        <v>1.2169326217596399</v>
      </c>
      <c r="I17" s="1007">
        <v>4.4831277139893801</v>
      </c>
      <c r="J17" s="1007">
        <v>11.8120794663237</v>
      </c>
      <c r="K17" s="1007">
        <v>1.11300697282724</v>
      </c>
      <c r="L17" s="1007">
        <v>20.382448858582901</v>
      </c>
      <c r="M17" s="1007">
        <v>0.70463239278539103</v>
      </c>
    </row>
    <row r="18" spans="1:13" collapsed="1" x14ac:dyDescent="0.2">
      <c r="A18" s="969" t="s">
        <v>1366</v>
      </c>
      <c r="B18" s="969" t="s">
        <v>1367</v>
      </c>
      <c r="C18" s="969" t="s">
        <v>1368</v>
      </c>
      <c r="D18" s="1007"/>
      <c r="E18" s="1007"/>
      <c r="F18" s="1007">
        <v>0.87358322156671298</v>
      </c>
      <c r="G18" s="1007"/>
      <c r="H18" s="1007"/>
      <c r="I18" s="1007"/>
      <c r="J18" s="1007"/>
      <c r="K18" s="1007">
        <v>3.1180990574726302</v>
      </c>
      <c r="L18" s="1007"/>
      <c r="M18" s="1007"/>
    </row>
    <row r="19" spans="1:13" collapsed="1" x14ac:dyDescent="0.2">
      <c r="A19" s="969" t="s">
        <v>1369</v>
      </c>
      <c r="B19" s="969" t="s">
        <v>1370</v>
      </c>
      <c r="C19" s="969" t="s">
        <v>1371</v>
      </c>
      <c r="D19" s="1007">
        <v>4.0766386332031601</v>
      </c>
      <c r="E19" s="1007">
        <v>11.0759485236696</v>
      </c>
      <c r="F19" s="1007">
        <v>0.73893795873784796</v>
      </c>
      <c r="G19" s="1007">
        <v>9.5468613707291592</v>
      </c>
      <c r="H19" s="1007">
        <v>1.36869118905047</v>
      </c>
      <c r="I19" s="1007"/>
      <c r="J19" s="1007"/>
      <c r="K19" s="1007">
        <v>1.5617205945866901</v>
      </c>
      <c r="L19" s="1007"/>
      <c r="M19" s="1007">
        <v>1.6068837827856199</v>
      </c>
    </row>
    <row r="20" spans="1:13" collapsed="1" x14ac:dyDescent="0.2">
      <c r="A20" s="969" t="s">
        <v>1372</v>
      </c>
      <c r="B20" s="969" t="s">
        <v>1373</v>
      </c>
      <c r="C20" s="969" t="s">
        <v>1374</v>
      </c>
      <c r="D20" s="1007">
        <v>6.8533634690541003</v>
      </c>
      <c r="E20" s="1007"/>
      <c r="F20" s="1007">
        <v>0.701123358639825</v>
      </c>
      <c r="G20" s="1007"/>
      <c r="H20" s="1007">
        <v>2.2471910112359601</v>
      </c>
      <c r="I20" s="1007">
        <v>18.044640384615398</v>
      </c>
      <c r="J20" s="1007"/>
      <c r="K20" s="1007">
        <v>0.91228184775302501</v>
      </c>
      <c r="L20" s="1007"/>
      <c r="M20" s="1007">
        <v>1.9678349087768401</v>
      </c>
    </row>
    <row r="21" spans="1:13" collapsed="1" x14ac:dyDescent="0.2">
      <c r="A21" s="969" t="s">
        <v>1375</v>
      </c>
      <c r="B21" s="969" t="s">
        <v>1376</v>
      </c>
      <c r="C21" s="969" t="s">
        <v>1345</v>
      </c>
      <c r="D21" s="1007">
        <v>7.5161938405848199</v>
      </c>
      <c r="E21" s="1007"/>
      <c r="F21" s="1007">
        <v>1.09489681780426</v>
      </c>
      <c r="G21" s="1007">
        <v>20.7803689830594</v>
      </c>
      <c r="H21" s="1007">
        <v>1.6190389490369499</v>
      </c>
      <c r="I21" s="1007">
        <v>15.589956407332201</v>
      </c>
      <c r="J21" s="1007"/>
      <c r="K21" s="1007">
        <v>1.4713532230264199</v>
      </c>
      <c r="L21" s="1007"/>
      <c r="M21" s="1007">
        <v>1.5946632003090599</v>
      </c>
    </row>
    <row r="22" spans="1:13" collapsed="1" x14ac:dyDescent="0.2">
      <c r="A22" s="969" t="s">
        <v>1377</v>
      </c>
      <c r="B22" s="969" t="s">
        <v>1378</v>
      </c>
      <c r="C22" s="969" t="s">
        <v>1311</v>
      </c>
      <c r="D22" s="1007"/>
      <c r="E22" s="1007"/>
      <c r="F22" s="1007"/>
      <c r="G22" s="1007"/>
      <c r="H22" s="1007"/>
      <c r="I22" s="1007"/>
      <c r="J22" s="1007"/>
      <c r="K22" s="1007"/>
      <c r="L22" s="1007"/>
      <c r="M22" s="1007"/>
    </row>
    <row r="23" spans="1:13" collapsed="1" x14ac:dyDescent="0.2">
      <c r="A23" s="969" t="s">
        <v>1379</v>
      </c>
      <c r="B23" s="969" t="s">
        <v>1380</v>
      </c>
      <c r="C23" s="969" t="s">
        <v>1381</v>
      </c>
      <c r="D23" s="1007">
        <v>4.9452808407447097</v>
      </c>
      <c r="E23" s="1007">
        <v>27.706762919979301</v>
      </c>
      <c r="F23" s="1007">
        <v>0.97137819168226602</v>
      </c>
      <c r="G23" s="1007">
        <v>29.758708649564799</v>
      </c>
      <c r="H23" s="1007">
        <v>1.4099429502852501</v>
      </c>
      <c r="I23" s="1007">
        <v>3.9637570576060299</v>
      </c>
      <c r="J23" s="1007">
        <v>12.1149956588908</v>
      </c>
      <c r="K23" s="1007">
        <v>1.1047826775079801</v>
      </c>
      <c r="L23" s="1007">
        <v>8.9002757542083408</v>
      </c>
      <c r="M23" s="1007">
        <v>1.50681965384919</v>
      </c>
    </row>
    <row r="24" spans="1:13" collapsed="1" x14ac:dyDescent="0.2">
      <c r="A24" s="969" t="s">
        <v>1382</v>
      </c>
      <c r="B24" s="969" t="s">
        <v>1383</v>
      </c>
      <c r="C24" s="969" t="s">
        <v>1384</v>
      </c>
      <c r="D24" s="1007">
        <v>4.3503288977603001</v>
      </c>
      <c r="E24" s="1007">
        <v>7.6924276391838999</v>
      </c>
      <c r="F24" s="1007">
        <v>1.0176709710940799</v>
      </c>
      <c r="G24" s="1007">
        <v>7.18058617957261</v>
      </c>
      <c r="H24" s="1007">
        <v>1.0915000096395</v>
      </c>
      <c r="I24" s="1007">
        <v>3.5077568200807501</v>
      </c>
      <c r="J24" s="1007">
        <v>5.3880894511283897</v>
      </c>
      <c r="K24" s="1007">
        <v>1.23898905247247</v>
      </c>
      <c r="L24" s="1007">
        <v>5.2032566875113702</v>
      </c>
      <c r="M24" s="1007">
        <v>1.1605547363288999</v>
      </c>
    </row>
    <row r="25" spans="1:13" collapsed="1" x14ac:dyDescent="0.2">
      <c r="A25" s="969" t="s">
        <v>1385</v>
      </c>
      <c r="B25" s="969" t="s">
        <v>1386</v>
      </c>
      <c r="C25" s="969" t="s">
        <v>1387</v>
      </c>
      <c r="D25" s="1007"/>
      <c r="E25" s="1007"/>
      <c r="F25" s="1007"/>
      <c r="G25" s="1007"/>
      <c r="H25" s="1007"/>
      <c r="I25" s="1007">
        <v>6.86896323988553</v>
      </c>
      <c r="J25" s="1007"/>
      <c r="K25" s="1007">
        <v>1.6132389460294501</v>
      </c>
      <c r="L25" s="1007"/>
      <c r="M25" s="1007">
        <v>-0.43365567258749899</v>
      </c>
    </row>
    <row r="26" spans="1:13" collapsed="1" x14ac:dyDescent="0.2">
      <c r="A26" s="969" t="s">
        <v>1388</v>
      </c>
      <c r="B26" s="969" t="s">
        <v>1389</v>
      </c>
      <c r="C26" s="969" t="s">
        <v>1306</v>
      </c>
      <c r="D26" s="1007"/>
      <c r="E26" s="1007"/>
      <c r="F26" s="1007"/>
      <c r="G26" s="1007"/>
      <c r="H26" s="1007"/>
      <c r="I26" s="1007"/>
      <c r="J26" s="1007"/>
      <c r="K26" s="1007"/>
      <c r="L26" s="1007"/>
      <c r="M26" s="1007"/>
    </row>
    <row r="27" spans="1:13" collapsed="1" x14ac:dyDescent="0.2">
      <c r="A27" s="969" t="s">
        <v>1390</v>
      </c>
      <c r="B27" s="969" t="s">
        <v>1391</v>
      </c>
      <c r="C27" s="969" t="s">
        <v>1392</v>
      </c>
      <c r="D27" s="1007">
        <v>8.6867598804245798</v>
      </c>
      <c r="E27" s="1007"/>
      <c r="F27" s="1007">
        <v>0.78974893427423998</v>
      </c>
      <c r="G27" s="1007">
        <v>2.4466963699991902</v>
      </c>
      <c r="H27" s="1007">
        <v>-0.33444237998530901</v>
      </c>
      <c r="I27" s="1007"/>
      <c r="J27" s="1007"/>
      <c r="K27" s="1007">
        <v>1.18875094806805</v>
      </c>
      <c r="L27" s="1007"/>
      <c r="M27" s="1007">
        <v>-0.39132391820429602</v>
      </c>
    </row>
    <row r="28" spans="1:13" collapsed="1" x14ac:dyDescent="0.2">
      <c r="A28" s="969" t="s">
        <v>1393</v>
      </c>
      <c r="B28" s="969" t="s">
        <v>1394</v>
      </c>
      <c r="C28" s="969" t="s">
        <v>1395</v>
      </c>
      <c r="D28" s="1007"/>
      <c r="E28" s="1007"/>
      <c r="F28" s="1007"/>
      <c r="G28" s="1007"/>
      <c r="H28" s="1007"/>
      <c r="I28" s="1007">
        <v>18.591955653107402</v>
      </c>
      <c r="J28" s="1007"/>
      <c r="K28" s="1007">
        <v>6.5315113022819196</v>
      </c>
      <c r="L28" s="1007"/>
      <c r="M28" s="1007">
        <v>0.86185252546767599</v>
      </c>
    </row>
    <row r="29" spans="1:13" collapsed="1" x14ac:dyDescent="0.2">
      <c r="A29" s="969" t="s">
        <v>1396</v>
      </c>
      <c r="B29" s="969" t="s">
        <v>1397</v>
      </c>
      <c r="C29" s="969" t="s">
        <v>1398</v>
      </c>
      <c r="D29" s="1007"/>
      <c r="E29" s="1007"/>
      <c r="F29" s="1007"/>
      <c r="G29" s="1007"/>
      <c r="H29" s="1007"/>
      <c r="I29" s="1007"/>
      <c r="J29" s="1007"/>
      <c r="K29" s="1007"/>
      <c r="L29" s="1007"/>
      <c r="M29" s="1007"/>
    </row>
    <row r="30" spans="1:13" collapsed="1" x14ac:dyDescent="0.2">
      <c r="A30" s="969" t="s">
        <v>1399</v>
      </c>
      <c r="B30" s="969" t="s">
        <v>1400</v>
      </c>
      <c r="C30" s="969" t="s">
        <v>1309</v>
      </c>
      <c r="D30" s="1007">
        <v>3.45764671344749</v>
      </c>
      <c r="E30" s="1007">
        <v>6.17505206021396</v>
      </c>
      <c r="F30" s="1007">
        <v>0.75198564544776003</v>
      </c>
      <c r="G30" s="1007">
        <v>7.5090921583307901</v>
      </c>
      <c r="H30" s="1007">
        <v>12.676449734654</v>
      </c>
      <c r="I30" s="1007">
        <v>39.621663135537197</v>
      </c>
      <c r="J30" s="1007"/>
      <c r="K30" s="1007">
        <v>1.5791242554018401</v>
      </c>
      <c r="L30" s="1007"/>
      <c r="M30" s="1007">
        <v>-56.437616243254901</v>
      </c>
    </row>
    <row r="31" spans="1:13" collapsed="1" x14ac:dyDescent="0.2">
      <c r="A31" s="969" t="s">
        <v>1401</v>
      </c>
      <c r="B31" s="969" t="s">
        <v>1402</v>
      </c>
      <c r="C31" s="969" t="s">
        <v>1392</v>
      </c>
      <c r="D31" s="1007"/>
      <c r="E31" s="1007"/>
      <c r="F31" s="1007"/>
      <c r="G31" s="1007"/>
      <c r="H31" s="1007"/>
      <c r="I31" s="1007"/>
      <c r="J31" s="1007"/>
      <c r="K31" s="1007"/>
      <c r="L31" s="1007"/>
      <c r="M31" s="1007"/>
    </row>
    <row r="32" spans="1:13" collapsed="1" x14ac:dyDescent="0.2">
      <c r="A32" s="969" t="s">
        <v>1403</v>
      </c>
      <c r="B32" s="969" t="s">
        <v>1404</v>
      </c>
      <c r="C32" s="969" t="s">
        <v>1405</v>
      </c>
      <c r="D32" s="1007"/>
      <c r="E32" s="1007"/>
      <c r="F32" s="1007"/>
      <c r="G32" s="1007"/>
      <c r="H32" s="1007"/>
      <c r="I32" s="1007"/>
      <c r="J32" s="1007"/>
      <c r="K32" s="1007">
        <v>5.9822926382823898</v>
      </c>
      <c r="L32" s="1007"/>
      <c r="M32" s="1007">
        <v>-0.358014017322072</v>
      </c>
    </row>
    <row r="33" spans="1:13" collapsed="1" x14ac:dyDescent="0.2">
      <c r="A33" s="969" t="s">
        <v>1406</v>
      </c>
      <c r="B33" s="969" t="s">
        <v>1407</v>
      </c>
      <c r="C33" s="969" t="s">
        <v>1306</v>
      </c>
      <c r="D33" s="1007"/>
      <c r="E33" s="1007"/>
      <c r="F33" s="1007"/>
      <c r="G33" s="1007"/>
      <c r="H33" s="1007"/>
      <c r="I33" s="1007">
        <v>0.47230313541054297</v>
      </c>
      <c r="J33" s="1007">
        <v>0.667604330363326</v>
      </c>
      <c r="K33" s="1007">
        <v>0.14967373538036899</v>
      </c>
      <c r="L33" s="1007">
        <v>2.4731109796428998</v>
      </c>
      <c r="M33" s="1007">
        <v>0.50620962447022499</v>
      </c>
    </row>
    <row r="34" spans="1:13" collapsed="1" x14ac:dyDescent="0.2">
      <c r="A34" s="969" t="s">
        <v>1408</v>
      </c>
      <c r="B34" s="969" t="s">
        <v>1409</v>
      </c>
      <c r="C34" s="969" t="s">
        <v>1410</v>
      </c>
      <c r="D34" s="1007"/>
      <c r="E34" s="1007"/>
      <c r="F34" s="1007"/>
      <c r="G34" s="1007"/>
      <c r="H34" s="1007"/>
      <c r="I34" s="1007"/>
      <c r="J34" s="1007"/>
      <c r="K34" s="1007">
        <v>5.1441409578140602</v>
      </c>
      <c r="L34" s="1007"/>
      <c r="M34" s="1007">
        <v>-4.3977873336397001E-2</v>
      </c>
    </row>
    <row r="35" spans="1:13" collapsed="1" x14ac:dyDescent="0.2">
      <c r="A35" s="969" t="s">
        <v>1411</v>
      </c>
      <c r="B35" s="969" t="s">
        <v>1412</v>
      </c>
      <c r="C35" s="969" t="s">
        <v>1413</v>
      </c>
      <c r="D35" s="1007">
        <v>6.5483083252687102</v>
      </c>
      <c r="E35" s="1007">
        <v>10.844954856476001</v>
      </c>
      <c r="F35" s="1007">
        <v>1.29709682454148</v>
      </c>
      <c r="G35" s="1007">
        <v>12.6686112081369</v>
      </c>
      <c r="H35" s="1007">
        <v>2.15321371784301</v>
      </c>
      <c r="I35" s="1007">
        <v>15.570743523296199</v>
      </c>
      <c r="J35" s="1007">
        <v>103.014746078001</v>
      </c>
      <c r="K35" s="1007">
        <v>2.1168717996944202</v>
      </c>
      <c r="L35" s="1007">
        <v>66.694521334935004</v>
      </c>
      <c r="M35" s="1007">
        <v>2.33464756782289</v>
      </c>
    </row>
    <row r="36" spans="1:13" collapsed="1" x14ac:dyDescent="0.2">
      <c r="A36" s="969" t="s">
        <v>1414</v>
      </c>
      <c r="B36" s="969" t="s">
        <v>1415</v>
      </c>
      <c r="C36" s="969" t="s">
        <v>1387</v>
      </c>
      <c r="D36" s="1007"/>
      <c r="E36" s="1007"/>
      <c r="F36" s="1007"/>
      <c r="G36" s="1007"/>
      <c r="H36" s="1007"/>
      <c r="I36" s="1007">
        <v>4.7913861879874604</v>
      </c>
      <c r="J36" s="1007">
        <v>8.2009728307746101</v>
      </c>
      <c r="K36" s="1007">
        <v>1.1836614894924999</v>
      </c>
      <c r="L36" s="1007">
        <v>0.99692290555687102</v>
      </c>
      <c r="M36" s="1007">
        <v>3.6199907956213</v>
      </c>
    </row>
    <row r="37" spans="1:13" collapsed="1" x14ac:dyDescent="0.2">
      <c r="A37" s="969" t="s">
        <v>1416</v>
      </c>
      <c r="B37" s="969" t="s">
        <v>1417</v>
      </c>
      <c r="C37" s="969" t="s">
        <v>1381</v>
      </c>
      <c r="D37" s="1007">
        <v>4.3959615007472799</v>
      </c>
      <c r="E37" s="1007">
        <v>9.76716447466662</v>
      </c>
      <c r="F37" s="1007">
        <v>1.0655784332551801</v>
      </c>
      <c r="G37" s="1007">
        <v>11.415941164601101</v>
      </c>
      <c r="H37" s="1007">
        <v>1.5093351945559199</v>
      </c>
      <c r="I37" s="1007">
        <v>3.8788748034048202</v>
      </c>
      <c r="J37" s="1007">
        <v>10.6427094203992</v>
      </c>
      <c r="K37" s="1007">
        <v>1.3374173517241099</v>
      </c>
      <c r="L37" s="1007">
        <v>10.3950936760176</v>
      </c>
      <c r="M37" s="1007">
        <v>1.64753365094979</v>
      </c>
    </row>
    <row r="38" spans="1:13" collapsed="1" x14ac:dyDescent="0.2">
      <c r="A38" s="969" t="s">
        <v>1418</v>
      </c>
      <c r="B38" s="969" t="s">
        <v>1419</v>
      </c>
      <c r="C38" s="969" t="s">
        <v>1420</v>
      </c>
      <c r="D38" s="1007">
        <v>9.2443841822194006</v>
      </c>
      <c r="E38" s="1007"/>
      <c r="F38" s="1007">
        <v>1.02020670783426</v>
      </c>
      <c r="G38" s="1007"/>
      <c r="H38" s="1007">
        <v>2.1335593220339</v>
      </c>
      <c r="I38" s="1007">
        <v>46.827261492105997</v>
      </c>
      <c r="J38" s="1007"/>
      <c r="K38" s="1007">
        <v>1.45688676927361</v>
      </c>
      <c r="L38" s="1007"/>
      <c r="M38" s="1007">
        <v>3.3503627327648902</v>
      </c>
    </row>
    <row r="39" spans="1:13" collapsed="1" x14ac:dyDescent="0.2">
      <c r="A39" s="969" t="s">
        <v>1421</v>
      </c>
      <c r="B39" s="969" t="s">
        <v>1422</v>
      </c>
      <c r="C39" s="969" t="s">
        <v>1312</v>
      </c>
      <c r="D39" s="1007"/>
      <c r="E39" s="1007"/>
      <c r="F39" s="1007"/>
      <c r="G39" s="1007"/>
      <c r="H39" s="1007"/>
      <c r="I39" s="1007"/>
      <c r="J39" s="1007"/>
      <c r="K39" s="1007">
        <v>2.7841659487572299</v>
      </c>
      <c r="L39" s="1007"/>
      <c r="M39" s="1007">
        <v>-0.30139582330210402</v>
      </c>
    </row>
    <row r="40" spans="1:13" collapsed="1" x14ac:dyDescent="0.2">
      <c r="A40" s="969" t="s">
        <v>1423</v>
      </c>
      <c r="B40" s="969" t="s">
        <v>1424</v>
      </c>
      <c r="C40" s="969" t="s">
        <v>1425</v>
      </c>
      <c r="D40" s="1007"/>
      <c r="E40" s="1007"/>
      <c r="F40" s="1007"/>
      <c r="G40" s="1007"/>
      <c r="H40" s="1007"/>
      <c r="I40" s="1007"/>
      <c r="J40" s="1007"/>
      <c r="K40" s="1007"/>
      <c r="L40" s="1007"/>
      <c r="M40" s="1007">
        <v>0.26568619089408302</v>
      </c>
    </row>
    <row r="41" spans="1:13" collapsed="1" x14ac:dyDescent="0.2">
      <c r="A41" s="969" t="s">
        <v>1426</v>
      </c>
      <c r="B41" s="969" t="s">
        <v>1427</v>
      </c>
      <c r="C41" s="969" t="s">
        <v>1351</v>
      </c>
      <c r="D41" s="1007">
        <v>3.5250984074976199</v>
      </c>
      <c r="E41" s="1007">
        <v>9.6923295607561499</v>
      </c>
      <c r="F41" s="1007">
        <v>0.46778689299631998</v>
      </c>
      <c r="G41" s="1007">
        <v>13.3705253815886</v>
      </c>
      <c r="H41" s="1007">
        <v>1.0575028542159</v>
      </c>
      <c r="I41" s="1007"/>
      <c r="J41" s="1007"/>
      <c r="K41" s="1007">
        <v>1.3101263540868899</v>
      </c>
      <c r="L41" s="1007"/>
      <c r="M41" s="1007">
        <v>1.21405868737706</v>
      </c>
    </row>
    <row r="42" spans="1:13" collapsed="1" x14ac:dyDescent="0.2">
      <c r="A42" s="969" t="s">
        <v>1428</v>
      </c>
      <c r="B42" s="969" t="s">
        <v>1429</v>
      </c>
      <c r="C42" s="969" t="s">
        <v>1312</v>
      </c>
      <c r="D42" s="1007"/>
      <c r="E42" s="1007"/>
      <c r="F42" s="1007"/>
      <c r="G42" s="1007"/>
      <c r="H42" s="1007"/>
      <c r="I42" s="1007"/>
      <c r="J42" s="1007"/>
      <c r="K42" s="1007">
        <v>6.3581818568065396</v>
      </c>
      <c r="L42" s="1007"/>
      <c r="M42" s="1007">
        <v>-4.3762993866024003</v>
      </c>
    </row>
    <row r="43" spans="1:13" collapsed="1" x14ac:dyDescent="0.2">
      <c r="A43" s="969" t="s">
        <v>1430</v>
      </c>
      <c r="B43" s="969" t="s">
        <v>1431</v>
      </c>
      <c r="C43" s="969" t="s">
        <v>1384</v>
      </c>
      <c r="D43" s="1007">
        <v>5.7856851271424201</v>
      </c>
      <c r="E43" s="1007">
        <v>25.242638925245501</v>
      </c>
      <c r="F43" s="1007">
        <v>1.1186799075034699</v>
      </c>
      <c r="G43" s="1007"/>
      <c r="H43" s="1007">
        <v>4.7450980392156898</v>
      </c>
      <c r="I43" s="1007">
        <v>4.3192216663032701</v>
      </c>
      <c r="J43" s="1007">
        <v>13.580242389365299</v>
      </c>
      <c r="K43" s="1007">
        <v>1.37855277583702</v>
      </c>
      <c r="L43" s="1007"/>
      <c r="M43" s="1007">
        <v>5.6675592587503401</v>
      </c>
    </row>
    <row r="44" spans="1:13" collapsed="1" x14ac:dyDescent="0.2">
      <c r="A44" s="969" t="s">
        <v>1432</v>
      </c>
      <c r="B44" s="969" t="s">
        <v>1433</v>
      </c>
      <c r="C44" s="969" t="s">
        <v>1434</v>
      </c>
      <c r="D44" s="1007"/>
      <c r="E44" s="1007"/>
      <c r="F44" s="1007"/>
      <c r="G44" s="1007"/>
      <c r="H44" s="1007">
        <v>-4.8928466581856997E-2</v>
      </c>
      <c r="I44" s="1007"/>
      <c r="J44" s="1007"/>
      <c r="K44" s="1007"/>
      <c r="L44" s="1007"/>
      <c r="M44" s="1007"/>
    </row>
    <row r="45" spans="1:13" collapsed="1" x14ac:dyDescent="0.2">
      <c r="A45" s="969" t="s">
        <v>1435</v>
      </c>
      <c r="B45" s="969" t="s">
        <v>1436</v>
      </c>
      <c r="C45" s="969" t="s">
        <v>1306</v>
      </c>
      <c r="D45" s="1007">
        <v>4.2551766529606798</v>
      </c>
      <c r="E45" s="1007">
        <v>13.2137540908825</v>
      </c>
      <c r="F45" s="1007">
        <v>0.432512981434726</v>
      </c>
      <c r="G45" s="1007">
        <v>18.9233035902339</v>
      </c>
      <c r="H45" s="1007">
        <v>0.73640167364016695</v>
      </c>
      <c r="I45" s="1007">
        <v>23.247861004835201</v>
      </c>
      <c r="J45" s="1007"/>
      <c r="K45" s="1007">
        <v>0.493308931197389</v>
      </c>
      <c r="L45" s="1007"/>
      <c r="M45" s="1007">
        <v>0.73170230966462901</v>
      </c>
    </row>
    <row r="46" spans="1:13" collapsed="1" x14ac:dyDescent="0.2">
      <c r="A46" s="969" t="s">
        <v>1437</v>
      </c>
      <c r="B46" s="969" t="s">
        <v>1438</v>
      </c>
      <c r="C46" s="969" t="s">
        <v>1311</v>
      </c>
      <c r="D46" s="1007">
        <v>7.0098281542594503</v>
      </c>
      <c r="E46" s="1007">
        <v>11.713985516591601</v>
      </c>
      <c r="F46" s="1007">
        <v>1.6684485561317799</v>
      </c>
      <c r="G46" s="1007">
        <v>12.690898617430999</v>
      </c>
      <c r="H46" s="1007">
        <v>1.9495073891625601</v>
      </c>
      <c r="I46" s="1007">
        <v>8.84160991777531</v>
      </c>
      <c r="J46" s="1007">
        <v>17.6411549518639</v>
      </c>
      <c r="K46" s="1007">
        <v>1.9470288625702401</v>
      </c>
      <c r="L46" s="1007">
        <v>20.662379589101899</v>
      </c>
      <c r="M46" s="1007">
        <v>1.97665923823901</v>
      </c>
    </row>
    <row r="47" spans="1:13" collapsed="1" x14ac:dyDescent="0.2">
      <c r="A47" s="969" t="s">
        <v>1439</v>
      </c>
      <c r="B47" s="969" t="s">
        <v>1440</v>
      </c>
      <c r="C47" s="969" t="s">
        <v>1395</v>
      </c>
      <c r="D47" s="1007"/>
      <c r="E47" s="1007"/>
      <c r="F47" s="1007"/>
      <c r="G47" s="1007"/>
      <c r="H47" s="1007"/>
      <c r="I47" s="1007"/>
      <c r="J47" s="1007"/>
      <c r="K47" s="1007">
        <v>1.5625241104077401</v>
      </c>
      <c r="L47" s="1007"/>
      <c r="M47" s="1007">
        <v>-0.39745067374436799</v>
      </c>
    </row>
    <row r="48" spans="1:13" collapsed="1" x14ac:dyDescent="0.2">
      <c r="A48" s="969" t="s">
        <v>1441</v>
      </c>
      <c r="B48" s="969" t="s">
        <v>1442</v>
      </c>
      <c r="C48" s="969" t="s">
        <v>1312</v>
      </c>
      <c r="D48" s="1007">
        <v>12.540884087888299</v>
      </c>
      <c r="E48" s="1007">
        <v>107.43678872488699</v>
      </c>
      <c r="F48" s="1007">
        <v>2.1678778244015899</v>
      </c>
      <c r="G48" s="1007"/>
      <c r="H48" s="1007">
        <v>2.5319282272180499</v>
      </c>
      <c r="I48" s="1007"/>
      <c r="J48" s="1007"/>
      <c r="K48" s="1007">
        <v>3.2119973024249102</v>
      </c>
      <c r="L48" s="1007"/>
      <c r="M48" s="1007">
        <v>2.3092842203880699</v>
      </c>
    </row>
    <row r="49" spans="1:13" collapsed="1" x14ac:dyDescent="0.2">
      <c r="A49" s="969" t="s">
        <v>1443</v>
      </c>
      <c r="B49" s="969" t="s">
        <v>1444</v>
      </c>
      <c r="C49" s="969" t="s">
        <v>1445</v>
      </c>
      <c r="D49" s="1007"/>
      <c r="E49" s="1007"/>
      <c r="F49" s="1007"/>
      <c r="G49" s="1007"/>
      <c r="H49" s="1007"/>
      <c r="I49" s="1007">
        <v>169.22426580768001</v>
      </c>
      <c r="J49" s="1007"/>
      <c r="K49" s="1007">
        <v>0.75564112694029795</v>
      </c>
      <c r="L49" s="1007"/>
      <c r="M49" s="1007">
        <v>-13.2348266686851</v>
      </c>
    </row>
    <row r="50" spans="1:13" collapsed="1" x14ac:dyDescent="0.2">
      <c r="A50" s="969" t="s">
        <v>1446</v>
      </c>
      <c r="B50" s="969" t="s">
        <v>1447</v>
      </c>
      <c r="C50" s="969" t="s">
        <v>1448</v>
      </c>
      <c r="D50" s="1007">
        <v>3.1058096055266602</v>
      </c>
      <c r="E50" s="1007">
        <v>8.55244608850807</v>
      </c>
      <c r="F50" s="1007">
        <v>0.41011627811058299</v>
      </c>
      <c r="G50" s="1007">
        <v>19.582541873382102</v>
      </c>
      <c r="H50" s="1007">
        <v>1.9617120138972299</v>
      </c>
      <c r="I50" s="1007">
        <v>16.852638687064101</v>
      </c>
      <c r="J50" s="1007"/>
      <c r="K50" s="1007">
        <v>0.57052750346964398</v>
      </c>
      <c r="L50" s="1007">
        <v>8.18631880869121</v>
      </c>
      <c r="M50" s="1007">
        <v>1.59505556443247</v>
      </c>
    </row>
    <row r="51" spans="1:13" collapsed="1" x14ac:dyDescent="0.2">
      <c r="A51" s="969" t="s">
        <v>1449</v>
      </c>
      <c r="B51" s="969" t="s">
        <v>1450</v>
      </c>
      <c r="C51" s="969" t="s">
        <v>6</v>
      </c>
      <c r="D51" s="1007">
        <v>12.893446621771799</v>
      </c>
      <c r="E51" s="1007">
        <v>23.3829647581031</v>
      </c>
      <c r="F51" s="1007">
        <v>2.8803616368300999</v>
      </c>
      <c r="G51" s="1007">
        <v>10.0577380706199</v>
      </c>
      <c r="H51" s="1007">
        <v>-0.17453416149068299</v>
      </c>
      <c r="I51" s="1007"/>
      <c r="J51" s="1007"/>
      <c r="K51" s="1007">
        <v>3.7550803533505901</v>
      </c>
      <c r="L51" s="1007"/>
      <c r="M51" s="1007">
        <v>-0.16201817587560599</v>
      </c>
    </row>
    <row r="52" spans="1:13" collapsed="1" x14ac:dyDescent="0.2">
      <c r="A52" s="969" t="s">
        <v>1451</v>
      </c>
      <c r="B52" s="969" t="s">
        <v>1452</v>
      </c>
      <c r="C52" s="969" t="s">
        <v>1453</v>
      </c>
      <c r="D52" s="1007">
        <v>7.31447374383694</v>
      </c>
      <c r="E52" s="1007">
        <v>67.543695606770896</v>
      </c>
      <c r="F52" s="1007">
        <v>1.4573082213139299</v>
      </c>
      <c r="G52" s="1007"/>
      <c r="H52" s="1007">
        <v>-0.41218637992831503</v>
      </c>
      <c r="I52" s="1007"/>
      <c r="J52" s="1007"/>
      <c r="K52" s="1007">
        <v>4.1314552257253698</v>
      </c>
      <c r="L52" s="1007"/>
      <c r="M52" s="1007">
        <v>-0.43703006436972602</v>
      </c>
    </row>
    <row r="53" spans="1:13" collapsed="1" x14ac:dyDescent="0.2">
      <c r="A53" s="969" t="s">
        <v>1454</v>
      </c>
      <c r="B53" s="969" t="s">
        <v>1455</v>
      </c>
      <c r="C53" s="969" t="s">
        <v>1351</v>
      </c>
      <c r="D53" s="1007">
        <v>30.535209056383302</v>
      </c>
      <c r="E53" s="1007"/>
      <c r="F53" s="1007">
        <v>2.6861647892181102</v>
      </c>
      <c r="G53" s="1007"/>
      <c r="H53" s="1007"/>
      <c r="I53" s="1007">
        <v>33.7203194741451</v>
      </c>
      <c r="J53" s="1007"/>
      <c r="K53" s="1007">
        <v>2.89379928950187</v>
      </c>
      <c r="L53" s="1007"/>
      <c r="M53" s="1007">
        <v>1.1348667010780999</v>
      </c>
    </row>
    <row r="54" spans="1:13" collapsed="1" x14ac:dyDescent="0.2">
      <c r="A54" s="969" t="s">
        <v>1456</v>
      </c>
      <c r="B54" s="969" t="s">
        <v>1457</v>
      </c>
      <c r="C54" s="969" t="s">
        <v>1392</v>
      </c>
      <c r="D54" s="1007"/>
      <c r="E54" s="1007"/>
      <c r="F54" s="1007"/>
      <c r="G54" s="1007"/>
      <c r="H54" s="1007"/>
      <c r="I54" s="1007"/>
      <c r="J54" s="1007"/>
      <c r="K54" s="1007"/>
      <c r="L54" s="1007"/>
      <c r="M54" s="1007"/>
    </row>
    <row r="55" spans="1:13" collapsed="1" x14ac:dyDescent="0.2">
      <c r="A55" s="969" t="s">
        <v>1458</v>
      </c>
      <c r="B55" s="969" t="s">
        <v>1459</v>
      </c>
      <c r="C55" s="969" t="s">
        <v>1309</v>
      </c>
      <c r="D55" s="1007"/>
      <c r="E55" s="1007"/>
      <c r="F55" s="1007"/>
      <c r="G55" s="1007"/>
      <c r="H55" s="1007"/>
      <c r="I55" s="1007"/>
      <c r="J55" s="1007"/>
      <c r="K55" s="1007">
        <v>1.10458375737801</v>
      </c>
      <c r="L55" s="1007"/>
      <c r="M55" s="1007">
        <v>0.92800340457705099</v>
      </c>
    </row>
    <row r="56" spans="1:13" collapsed="1" x14ac:dyDescent="0.2">
      <c r="A56" s="969" t="s">
        <v>1460</v>
      </c>
      <c r="B56" s="969" t="s">
        <v>1461</v>
      </c>
      <c r="C56" s="969" t="s">
        <v>1314</v>
      </c>
      <c r="D56" s="1007">
        <v>5.1715816746415797</v>
      </c>
      <c r="E56" s="1007">
        <v>8.0921795765067905</v>
      </c>
      <c r="F56" s="1007">
        <v>1.27948231050685</v>
      </c>
      <c r="G56" s="1007">
        <v>8.2348289265923498</v>
      </c>
      <c r="H56" s="1007">
        <v>2.22731725630927</v>
      </c>
      <c r="I56" s="1007">
        <v>7.3921288506945597</v>
      </c>
      <c r="J56" s="1007">
        <v>13.503979191777301</v>
      </c>
      <c r="K56" s="1007">
        <v>1.78418492228567</v>
      </c>
      <c r="L56" s="1007">
        <v>11.5200388976337</v>
      </c>
      <c r="M56" s="1007">
        <v>2.2927650974914502</v>
      </c>
    </row>
    <row r="57" spans="1:13" collapsed="1" x14ac:dyDescent="0.2">
      <c r="A57" s="969" t="s">
        <v>1462</v>
      </c>
      <c r="B57" s="969" t="s">
        <v>1463</v>
      </c>
      <c r="C57" s="969" t="s">
        <v>1311</v>
      </c>
      <c r="D57" s="1007">
        <v>5.8307954458094304</v>
      </c>
      <c r="E57" s="1007">
        <v>10.0275214089536</v>
      </c>
      <c r="F57" s="1007">
        <v>1.6476777635859501</v>
      </c>
      <c r="G57" s="1007">
        <v>5.2461903554880003</v>
      </c>
      <c r="H57" s="1007">
        <v>0.45966514459665098</v>
      </c>
      <c r="I57" s="1007">
        <v>7.9489911892010898</v>
      </c>
      <c r="J57" s="1007">
        <v>17.0929743052547</v>
      </c>
      <c r="K57" s="1007">
        <v>1.8559152469482301</v>
      </c>
      <c r="L57" s="1007">
        <v>324.38238453276102</v>
      </c>
      <c r="M57" s="1007">
        <v>0.51894678699931296</v>
      </c>
    </row>
    <row r="58" spans="1:13" collapsed="1" x14ac:dyDescent="0.2">
      <c r="A58" s="969" t="s">
        <v>1464</v>
      </c>
      <c r="B58" s="969" t="s">
        <v>1465</v>
      </c>
      <c r="C58" s="969" t="s">
        <v>1306</v>
      </c>
      <c r="D58" s="1007">
        <v>4.1774348825330003</v>
      </c>
      <c r="E58" s="1007">
        <v>6.9475391833507896</v>
      </c>
      <c r="F58" s="1007">
        <v>0.54467434013133398</v>
      </c>
      <c r="G58" s="1007">
        <v>8.2278488233567497</v>
      </c>
      <c r="H58" s="1007">
        <v>2.3182795998357002</v>
      </c>
      <c r="I58" s="1007">
        <v>8.5312459225165398</v>
      </c>
      <c r="J58" s="1007">
        <v>37.412577077334298</v>
      </c>
      <c r="K58" s="1007">
        <v>0.66475337580656302</v>
      </c>
      <c r="L58" s="1007"/>
      <c r="M58" s="1007">
        <v>2.8894789910920098</v>
      </c>
    </row>
    <row r="59" spans="1:13" collapsed="1" x14ac:dyDescent="0.2">
      <c r="A59" s="969" t="s">
        <v>1466</v>
      </c>
      <c r="B59" s="969" t="s">
        <v>1467</v>
      </c>
      <c r="C59" s="969" t="s">
        <v>1332</v>
      </c>
      <c r="D59" s="1007">
        <v>1.646568434196E-2</v>
      </c>
      <c r="E59" s="1007">
        <v>5.3956546954397999E-2</v>
      </c>
      <c r="F59" s="1007">
        <v>2.4110325373000001E-4</v>
      </c>
      <c r="G59" s="1007"/>
      <c r="H59" s="1007">
        <v>-3.6656891495600002E-4</v>
      </c>
      <c r="I59" s="1007"/>
      <c r="J59" s="1007"/>
      <c r="K59" s="1007"/>
      <c r="L59" s="1007"/>
      <c r="M59" s="1007"/>
    </row>
    <row r="60" spans="1:13" collapsed="1" x14ac:dyDescent="0.2">
      <c r="A60" s="969" t="s">
        <v>1468</v>
      </c>
      <c r="B60" s="969" t="s">
        <v>1469</v>
      </c>
      <c r="C60" s="969" t="s">
        <v>1306</v>
      </c>
      <c r="D60" s="1007">
        <v>5.8420993462695003</v>
      </c>
      <c r="E60" s="1007">
        <v>11.722802814029</v>
      </c>
      <c r="F60" s="1007">
        <v>0.98857411608780799</v>
      </c>
      <c r="G60" s="1007">
        <v>15.7662902857607</v>
      </c>
      <c r="H60" s="1007">
        <v>1.19510258785101</v>
      </c>
      <c r="I60" s="1007">
        <v>8.9626995737837394</v>
      </c>
      <c r="J60" s="1007">
        <v>29.938155091335599</v>
      </c>
      <c r="K60" s="1007">
        <v>1.12624400205746</v>
      </c>
      <c r="L60" s="1007"/>
      <c r="M60" s="1007">
        <v>1.2320650510987901</v>
      </c>
    </row>
    <row r="61" spans="1:13" collapsed="1" x14ac:dyDescent="0.2">
      <c r="A61" s="969" t="s">
        <v>1470</v>
      </c>
      <c r="B61" s="969" t="s">
        <v>1471</v>
      </c>
      <c r="C61" s="969" t="s">
        <v>1312</v>
      </c>
      <c r="D61" s="1007">
        <v>15.872998625065099</v>
      </c>
      <c r="E61" s="1007">
        <v>145.003119628126</v>
      </c>
      <c r="F61" s="1007">
        <v>2.6076874206596599</v>
      </c>
      <c r="G61" s="1007"/>
      <c r="H61" s="1007">
        <v>4.2634206177487801</v>
      </c>
      <c r="I61" s="1007"/>
      <c r="J61" s="1007"/>
      <c r="K61" s="1007">
        <v>5.206227591157</v>
      </c>
      <c r="L61" s="1007"/>
      <c r="M61" s="1007">
        <v>4.1364051486078202</v>
      </c>
    </row>
    <row r="62" spans="1:13" collapsed="1" x14ac:dyDescent="0.2">
      <c r="A62" s="969" t="s">
        <v>1472</v>
      </c>
      <c r="B62" s="969" t="s">
        <v>1473</v>
      </c>
      <c r="C62" s="969" t="s">
        <v>1311</v>
      </c>
      <c r="D62" s="1007">
        <v>5.5835398134269196</v>
      </c>
      <c r="E62" s="1007">
        <v>14.0143753508956</v>
      </c>
      <c r="F62" s="1007">
        <v>0.80173077024504003</v>
      </c>
      <c r="G62" s="1007">
        <v>132.35673431376</v>
      </c>
      <c r="H62" s="1007">
        <v>-4.6517412935323401</v>
      </c>
      <c r="I62" s="1007">
        <v>14.020582590640901</v>
      </c>
      <c r="J62" s="1007"/>
      <c r="K62" s="1007">
        <v>1.0462405027588599</v>
      </c>
      <c r="L62" s="1007"/>
      <c r="M62" s="1007">
        <v>-3.4683138881630202</v>
      </c>
    </row>
    <row r="63" spans="1:13" collapsed="1" x14ac:dyDescent="0.2">
      <c r="A63" s="969" t="s">
        <v>1474</v>
      </c>
      <c r="B63" s="969" t="s">
        <v>1475</v>
      </c>
      <c r="C63" s="969" t="s">
        <v>1476</v>
      </c>
      <c r="D63" s="1007">
        <v>4.2714527185011404</v>
      </c>
      <c r="E63" s="1007">
        <v>11.9584158465093</v>
      </c>
      <c r="F63" s="1007">
        <v>0.70387347643821196</v>
      </c>
      <c r="G63" s="1007"/>
      <c r="H63" s="1007"/>
      <c r="I63" s="1007">
        <v>7.2951149752855198</v>
      </c>
      <c r="J63" s="1007"/>
      <c r="K63" s="1007">
        <v>0.69605306147521795</v>
      </c>
      <c r="L63" s="1007"/>
      <c r="M63" s="1007">
        <v>1.78665012069484</v>
      </c>
    </row>
    <row r="64" spans="1:13" collapsed="1" x14ac:dyDescent="0.2">
      <c r="A64" s="969" t="s">
        <v>1477</v>
      </c>
      <c r="B64" s="969" t="s">
        <v>1478</v>
      </c>
      <c r="C64" s="969" t="s">
        <v>1479</v>
      </c>
      <c r="D64" s="1007">
        <v>5.10358174792289</v>
      </c>
      <c r="E64" s="1007">
        <v>8.7148487283021101</v>
      </c>
      <c r="F64" s="1007">
        <v>1.4865459855707599</v>
      </c>
      <c r="G64" s="1007">
        <v>9.7337033416181793</v>
      </c>
      <c r="H64" s="1007">
        <v>1.55632795535562</v>
      </c>
      <c r="I64" s="1007">
        <v>4.3480328174023199</v>
      </c>
      <c r="J64" s="1007">
        <v>6.5616081351912099</v>
      </c>
      <c r="K64" s="1007">
        <v>1.5554968120255199</v>
      </c>
      <c r="L64" s="1007">
        <v>7.3493385595296399</v>
      </c>
      <c r="M64" s="1007">
        <v>1.43787921955098</v>
      </c>
    </row>
    <row r="65" spans="1:13" collapsed="1" x14ac:dyDescent="0.2">
      <c r="A65" s="969" t="s">
        <v>1480</v>
      </c>
      <c r="B65" s="969" t="s">
        <v>1481</v>
      </c>
      <c r="C65" s="969" t="s">
        <v>1306</v>
      </c>
      <c r="D65" s="1007">
        <v>5.3708711964945399</v>
      </c>
      <c r="E65" s="1007">
        <v>7.5298831980279903</v>
      </c>
      <c r="F65" s="1007">
        <v>0.73095976523928796</v>
      </c>
      <c r="G65" s="1007">
        <v>7.4969488352612599</v>
      </c>
      <c r="H65" s="1007">
        <v>4.1643629635325299</v>
      </c>
      <c r="I65" s="1007">
        <v>8.1795073266785394</v>
      </c>
      <c r="J65" s="1007">
        <v>15.0954588789811</v>
      </c>
      <c r="K65" s="1007">
        <v>0.78817484847673602</v>
      </c>
      <c r="L65" s="1007">
        <v>300.06156010904903</v>
      </c>
      <c r="M65" s="1007">
        <v>4.76630650176961</v>
      </c>
    </row>
    <row r="66" spans="1:13" collapsed="1" x14ac:dyDescent="0.2">
      <c r="A66" s="969" t="s">
        <v>1482</v>
      </c>
      <c r="B66" s="969" t="s">
        <v>1483</v>
      </c>
      <c r="C66" s="969" t="s">
        <v>1484</v>
      </c>
      <c r="D66" s="1007">
        <v>3.39766771713838</v>
      </c>
      <c r="E66" s="1007">
        <v>8.7809437726939095</v>
      </c>
      <c r="F66" s="1007">
        <v>0.57308086278106296</v>
      </c>
      <c r="G66" s="1007">
        <v>9.4481590993801206</v>
      </c>
      <c r="H66" s="1007">
        <v>1.81026664248141</v>
      </c>
      <c r="I66" s="1007">
        <v>3.3691038896143901</v>
      </c>
      <c r="J66" s="1007">
        <v>9.4198307141492794</v>
      </c>
      <c r="K66" s="1007">
        <v>0.79112228164175802</v>
      </c>
      <c r="L66" s="1007">
        <v>7.9421922997341996</v>
      </c>
      <c r="M66" s="1007">
        <v>1.73473995297422</v>
      </c>
    </row>
    <row r="67" spans="1:13" collapsed="1" x14ac:dyDescent="0.2">
      <c r="A67" s="969" t="s">
        <v>1485</v>
      </c>
      <c r="B67" s="969" t="s">
        <v>1486</v>
      </c>
      <c r="C67" s="969" t="s">
        <v>1487</v>
      </c>
      <c r="D67" s="1007"/>
      <c r="E67" s="1007"/>
      <c r="F67" s="1007"/>
      <c r="G67" s="1007"/>
      <c r="H67" s="1007"/>
      <c r="I67" s="1007"/>
      <c r="J67" s="1007"/>
      <c r="K67" s="1007"/>
      <c r="L67" s="1007"/>
      <c r="M67" s="1007"/>
    </row>
    <row r="68" spans="1:13" collapsed="1" x14ac:dyDescent="0.2">
      <c r="A68" s="969" t="s">
        <v>1488</v>
      </c>
      <c r="B68" s="969" t="s">
        <v>1489</v>
      </c>
      <c r="C68" s="969" t="s">
        <v>1348</v>
      </c>
      <c r="D68" s="1007"/>
      <c r="E68" s="1007"/>
      <c r="F68" s="1007"/>
      <c r="G68" s="1007"/>
      <c r="H68" s="1007"/>
      <c r="I68" s="1007"/>
      <c r="J68" s="1007"/>
      <c r="K68" s="1007">
        <v>2.3343770593897601</v>
      </c>
      <c r="L68" s="1007"/>
      <c r="M68" s="1007">
        <v>-29.017736575160399</v>
      </c>
    </row>
    <row r="69" spans="1:13" collapsed="1" x14ac:dyDescent="0.2">
      <c r="A69" s="969" t="s">
        <v>1490</v>
      </c>
      <c r="B69" s="969" t="s">
        <v>1491</v>
      </c>
      <c r="C69" s="969" t="s">
        <v>1492</v>
      </c>
      <c r="D69" s="1007">
        <v>8.7909388110792896</v>
      </c>
      <c r="E69" s="1007">
        <v>10.8922067421524</v>
      </c>
      <c r="F69" s="1007">
        <v>2.5287283659948399</v>
      </c>
      <c r="G69" s="1007">
        <v>13.110473643403401</v>
      </c>
      <c r="H69" s="1007">
        <v>7.8118161925601797</v>
      </c>
      <c r="I69" s="1007">
        <v>9.1360135823058908</v>
      </c>
      <c r="J69" s="1007">
        <v>13.447044435909399</v>
      </c>
      <c r="K69" s="1007">
        <v>2.8864743608060199</v>
      </c>
      <c r="L69" s="1007">
        <v>13.624914128692501</v>
      </c>
      <c r="M69" s="1007">
        <v>10.553540875405499</v>
      </c>
    </row>
    <row r="70" spans="1:13" collapsed="1" x14ac:dyDescent="0.2">
      <c r="A70" s="969" t="s">
        <v>1493</v>
      </c>
      <c r="B70" s="969" t="s">
        <v>1494</v>
      </c>
      <c r="C70" s="969" t="s">
        <v>1360</v>
      </c>
      <c r="D70" s="1007">
        <v>5.21583946966991</v>
      </c>
      <c r="E70" s="1007">
        <v>8.9635742144146295</v>
      </c>
      <c r="F70" s="1007">
        <v>1.5962067863296601</v>
      </c>
      <c r="G70" s="1007">
        <v>8.7485752685573495</v>
      </c>
      <c r="H70" s="1007">
        <v>2.9441713785719101</v>
      </c>
      <c r="I70" s="1007">
        <v>7.53399485220661</v>
      </c>
      <c r="J70" s="1007">
        <v>12.6574516949194</v>
      </c>
      <c r="K70" s="1007">
        <v>2.3630309561000602</v>
      </c>
      <c r="L70" s="1007">
        <v>19.172425635089802</v>
      </c>
      <c r="M70" s="1007">
        <v>3.2515895448360101</v>
      </c>
    </row>
    <row r="71" spans="1:13" collapsed="1" x14ac:dyDescent="0.2">
      <c r="A71" s="969" t="s">
        <v>1495</v>
      </c>
      <c r="B71" s="969" t="s">
        <v>1496</v>
      </c>
      <c r="C71" s="969" t="s">
        <v>1453</v>
      </c>
      <c r="D71" s="1007">
        <v>6.9933932557982997E-2</v>
      </c>
      <c r="E71" s="1007"/>
      <c r="F71" s="1007">
        <v>2.9019038015797E-2</v>
      </c>
      <c r="G71" s="1007"/>
      <c r="H71" s="1007"/>
      <c r="I71" s="1007">
        <v>4.2131396009140003E-3</v>
      </c>
      <c r="J71" s="1007">
        <v>4.2131396009140003E-3</v>
      </c>
      <c r="K71" s="1007">
        <v>0.31562905075278003</v>
      </c>
      <c r="L71" s="1007">
        <v>4.9948672996530004E-3</v>
      </c>
      <c r="M71" s="1007">
        <v>-0.21056991692114299</v>
      </c>
    </row>
    <row r="72" spans="1:13" collapsed="1" x14ac:dyDescent="0.2">
      <c r="A72" s="969" t="s">
        <v>1497</v>
      </c>
      <c r="B72" s="969" t="s">
        <v>1498</v>
      </c>
      <c r="C72" s="969" t="s">
        <v>1306</v>
      </c>
      <c r="D72" s="1007">
        <v>7.0740987976693104</v>
      </c>
      <c r="E72" s="1007">
        <v>25.040412661015399</v>
      </c>
      <c r="F72" s="1007">
        <v>0.71573315283869399</v>
      </c>
      <c r="G72" s="1007">
        <v>57.673917990547203</v>
      </c>
      <c r="H72" s="1007">
        <v>1.2522349887747699</v>
      </c>
      <c r="I72" s="1007"/>
      <c r="J72" s="1007"/>
      <c r="K72" s="1007">
        <v>0.91974666709256203</v>
      </c>
      <c r="L72" s="1007"/>
      <c r="M72" s="1007">
        <v>1.27094305277428</v>
      </c>
    </row>
    <row r="73" spans="1:13" collapsed="1" x14ac:dyDescent="0.2">
      <c r="A73" s="969" t="s">
        <v>1499</v>
      </c>
      <c r="B73" s="969" t="s">
        <v>1500</v>
      </c>
      <c r="C73" s="969" t="s">
        <v>1351</v>
      </c>
      <c r="D73" s="1007"/>
      <c r="E73" s="1007"/>
      <c r="F73" s="1007"/>
      <c r="G73" s="1007"/>
      <c r="H73" s="1007"/>
      <c r="I73" s="1007">
        <v>10.081925492857399</v>
      </c>
      <c r="J73" s="1007"/>
      <c r="K73" s="1007">
        <v>0.49877396857126</v>
      </c>
      <c r="L73" s="1007"/>
      <c r="M73" s="1007">
        <v>1.22556027670087</v>
      </c>
    </row>
    <row r="74" spans="1:13" collapsed="1" x14ac:dyDescent="0.2">
      <c r="A74" s="969" t="s">
        <v>1501</v>
      </c>
      <c r="B74" s="969" t="s">
        <v>1502</v>
      </c>
      <c r="C74" s="969" t="s">
        <v>1503</v>
      </c>
      <c r="D74" s="1007"/>
      <c r="E74" s="1007"/>
      <c r="F74" s="1007">
        <v>0.56792210228699502</v>
      </c>
      <c r="G74" s="1007"/>
      <c r="H74" s="1007">
        <v>-2.6868225898459799</v>
      </c>
      <c r="I74" s="1007"/>
      <c r="J74" s="1007"/>
      <c r="K74" s="1007">
        <v>0.81452225528765698</v>
      </c>
      <c r="L74" s="1007"/>
      <c r="M74" s="1007">
        <v>-2.5890091289206301</v>
      </c>
    </row>
    <row r="75" spans="1:13" collapsed="1" x14ac:dyDescent="0.2">
      <c r="A75" s="969" t="s">
        <v>1504</v>
      </c>
      <c r="B75" s="969" t="s">
        <v>1505</v>
      </c>
      <c r="C75" s="969" t="s">
        <v>1351</v>
      </c>
      <c r="D75" s="1007">
        <v>4.7784061400882498</v>
      </c>
      <c r="E75" s="1007">
        <v>10.8034002908243</v>
      </c>
      <c r="F75" s="1007">
        <v>0.72172950040719897</v>
      </c>
      <c r="G75" s="1007">
        <v>10.721685878400001</v>
      </c>
      <c r="H75" s="1007">
        <v>8.2673360209659901</v>
      </c>
      <c r="I75" s="1007">
        <v>20.773195723617501</v>
      </c>
      <c r="J75" s="1007"/>
      <c r="K75" s="1007">
        <v>1.1895898282153601</v>
      </c>
      <c r="L75" s="1007"/>
      <c r="M75" s="1007">
        <v>4.2275283029154096</v>
      </c>
    </row>
    <row r="76" spans="1:13" collapsed="1" x14ac:dyDescent="0.2">
      <c r="A76" s="969" t="s">
        <v>1506</v>
      </c>
      <c r="B76" s="969" t="s">
        <v>1507</v>
      </c>
      <c r="C76" s="969" t="s">
        <v>1312</v>
      </c>
      <c r="D76" s="1007">
        <v>19.885167682419699</v>
      </c>
      <c r="E76" s="1007">
        <v>55.078451576168199</v>
      </c>
      <c r="F76" s="1007">
        <v>3.95843596658327</v>
      </c>
      <c r="G76" s="1007">
        <v>40.772858608260101</v>
      </c>
      <c r="H76" s="1007">
        <v>4.0739529672850896</v>
      </c>
      <c r="I76" s="1007"/>
      <c r="J76" s="1007"/>
      <c r="K76" s="1007">
        <v>7.3925059090019403</v>
      </c>
      <c r="L76" s="1007"/>
      <c r="M76" s="1007">
        <v>4.0912245987220404</v>
      </c>
    </row>
    <row r="77" spans="1:13" collapsed="1" x14ac:dyDescent="0.2">
      <c r="A77" s="969" t="s">
        <v>1508</v>
      </c>
      <c r="B77" s="969" t="s">
        <v>1509</v>
      </c>
      <c r="C77" s="969" t="s">
        <v>1405</v>
      </c>
      <c r="D77" s="1007"/>
      <c r="E77" s="1007"/>
      <c r="F77" s="1007"/>
      <c r="G77" s="1007"/>
      <c r="H77" s="1007"/>
      <c r="I77" s="1007">
        <v>8.1481696252314304</v>
      </c>
      <c r="J77" s="1007"/>
      <c r="K77" s="1007">
        <v>2.3503578647835499</v>
      </c>
      <c r="L77" s="1007"/>
      <c r="M77" s="1007"/>
    </row>
    <row r="78" spans="1:13" collapsed="1" x14ac:dyDescent="0.2">
      <c r="A78" s="969" t="s">
        <v>1510</v>
      </c>
      <c r="B78" s="969" t="s">
        <v>1511</v>
      </c>
      <c r="C78" s="969" t="s">
        <v>1307</v>
      </c>
      <c r="D78" s="1007">
        <v>6.6390338793308699</v>
      </c>
      <c r="E78" s="1007">
        <v>7.2929569673719898</v>
      </c>
      <c r="F78" s="1007">
        <v>1.0920759090597001</v>
      </c>
      <c r="G78" s="1007">
        <v>47.2579833003593</v>
      </c>
      <c r="H78" s="1007"/>
      <c r="I78" s="1007">
        <v>36.679781307897002</v>
      </c>
      <c r="J78" s="1007"/>
      <c r="K78" s="1007">
        <v>1.1371970597787999</v>
      </c>
      <c r="L78" s="1007"/>
      <c r="M78" s="1007">
        <v>-1.3372711734879801</v>
      </c>
    </row>
    <row r="79" spans="1:13" collapsed="1" x14ac:dyDescent="0.2">
      <c r="A79" s="969" t="s">
        <v>1512</v>
      </c>
      <c r="B79" s="969" t="s">
        <v>1513</v>
      </c>
      <c r="C79" s="969" t="s">
        <v>1243</v>
      </c>
      <c r="D79" s="1007"/>
      <c r="E79" s="1007"/>
      <c r="F79" s="1007"/>
      <c r="G79" s="1007"/>
      <c r="H79" s="1007"/>
      <c r="I79" s="1007"/>
      <c r="J79" s="1007"/>
      <c r="K79" s="1007">
        <v>3.4267260788328699</v>
      </c>
      <c r="L79" s="1007"/>
      <c r="M79" s="1007"/>
    </row>
    <row r="80" spans="1:13" collapsed="1" x14ac:dyDescent="0.2">
      <c r="A80" s="969" t="s">
        <v>1514</v>
      </c>
      <c r="B80" s="969" t="s">
        <v>1515</v>
      </c>
      <c r="C80" s="969" t="s">
        <v>1368</v>
      </c>
      <c r="D80" s="1007">
        <v>34.5295599812831</v>
      </c>
      <c r="E80" s="1007"/>
      <c r="F80" s="1007">
        <v>2.5371732860856202</v>
      </c>
      <c r="G80" s="1007"/>
      <c r="H80" s="1007">
        <v>2.6957095332133898</v>
      </c>
      <c r="I80" s="1007">
        <v>47.845175516790903</v>
      </c>
      <c r="J80" s="1007"/>
      <c r="K80" s="1007">
        <v>5.0566727340060096</v>
      </c>
      <c r="L80" s="1007"/>
      <c r="M80" s="1007">
        <v>1.64457583647925</v>
      </c>
    </row>
    <row r="81" spans="1:13" collapsed="1" x14ac:dyDescent="0.2">
      <c r="A81" s="969" t="s">
        <v>1516</v>
      </c>
      <c r="B81" s="969" t="s">
        <v>1517</v>
      </c>
      <c r="C81" s="969" t="s">
        <v>1345</v>
      </c>
      <c r="D81" s="1007"/>
      <c r="E81" s="1007"/>
      <c r="F81" s="1007"/>
      <c r="G81" s="1007"/>
      <c r="H81" s="1007"/>
      <c r="I81" s="1007"/>
      <c r="J81" s="1007"/>
      <c r="K81" s="1007">
        <v>0.51923382024994402</v>
      </c>
      <c r="L81" s="1007"/>
      <c r="M81" s="1007">
        <v>17.850032901874801</v>
      </c>
    </row>
    <row r="82" spans="1:13" collapsed="1" x14ac:dyDescent="0.2">
      <c r="A82" s="969" t="s">
        <v>1518</v>
      </c>
      <c r="B82" s="969" t="s">
        <v>1519</v>
      </c>
      <c r="C82" s="969" t="s">
        <v>1309</v>
      </c>
      <c r="D82" s="1007">
        <v>5.31111243377602</v>
      </c>
      <c r="E82" s="1007">
        <v>9.5431755705611891</v>
      </c>
      <c r="F82" s="1007">
        <v>1.30647316333962</v>
      </c>
      <c r="G82" s="1007">
        <v>10.902082436659001</v>
      </c>
      <c r="H82" s="1007">
        <v>1.42055218238057</v>
      </c>
      <c r="I82" s="1007">
        <v>11.3050185046395</v>
      </c>
      <c r="J82" s="1007">
        <v>47.601541031420801</v>
      </c>
      <c r="K82" s="1007">
        <v>1.87685746407939</v>
      </c>
      <c r="L82" s="1007"/>
      <c r="M82" s="1007">
        <v>1.5896303137471901</v>
      </c>
    </row>
    <row r="83" spans="1:13" collapsed="1" x14ac:dyDescent="0.2">
      <c r="A83" s="969" t="s">
        <v>1520</v>
      </c>
      <c r="B83" s="969" t="s">
        <v>1521</v>
      </c>
      <c r="C83" s="969" t="s">
        <v>1368</v>
      </c>
      <c r="D83" s="1007">
        <v>10.298178245254499</v>
      </c>
      <c r="E83" s="1007">
        <v>81.257146206133797</v>
      </c>
      <c r="F83" s="1007">
        <v>2.6376382403123801</v>
      </c>
      <c r="G83" s="1007"/>
      <c r="H83" s="1007">
        <v>2.9326644800308701</v>
      </c>
      <c r="I83" s="1007"/>
      <c r="J83" s="1007"/>
      <c r="K83" s="1007">
        <v>7.6938899016458997</v>
      </c>
      <c r="L83" s="1007"/>
      <c r="M83" s="1007">
        <v>7.5669529598427703</v>
      </c>
    </row>
    <row r="84" spans="1:13" collapsed="1" x14ac:dyDescent="0.2">
      <c r="A84" s="969" t="s">
        <v>1522</v>
      </c>
      <c r="B84" s="969" t="s">
        <v>1523</v>
      </c>
      <c r="C84" s="969" t="s">
        <v>1312</v>
      </c>
      <c r="D84" s="1007">
        <v>26.1729834099479</v>
      </c>
      <c r="E84" s="1007">
        <v>155.971716224419</v>
      </c>
      <c r="F84" s="1007">
        <v>3.6631937960676999</v>
      </c>
      <c r="G84" s="1007">
        <v>93.030579807889396</v>
      </c>
      <c r="H84" s="1007">
        <v>3.35648666816043</v>
      </c>
      <c r="I84" s="1007"/>
      <c r="J84" s="1007"/>
      <c r="K84" s="1007">
        <v>6.7473099006467701</v>
      </c>
      <c r="L84" s="1007"/>
      <c r="M84" s="1007">
        <v>3.3212090474556502</v>
      </c>
    </row>
    <row r="85" spans="1:13" collapsed="1" x14ac:dyDescent="0.2">
      <c r="A85" s="969" t="s">
        <v>1524</v>
      </c>
      <c r="B85" s="969" t="s">
        <v>1525</v>
      </c>
      <c r="C85" s="969" t="s">
        <v>1368</v>
      </c>
      <c r="D85" s="1007">
        <v>7.58157509784788</v>
      </c>
      <c r="E85" s="1007">
        <v>8.8297612420057607</v>
      </c>
      <c r="F85" s="1007">
        <v>0.43483009452824301</v>
      </c>
      <c r="G85" s="1007"/>
      <c r="H85" s="1007"/>
      <c r="I85" s="1007"/>
      <c r="J85" s="1007"/>
      <c r="K85" s="1007">
        <v>5.9123745874670401</v>
      </c>
      <c r="L85" s="1007"/>
      <c r="M85" s="1007"/>
    </row>
    <row r="86" spans="1:13" collapsed="1" x14ac:dyDescent="0.2">
      <c r="A86" s="969" t="s">
        <v>1526</v>
      </c>
      <c r="B86" s="969" t="s">
        <v>1527</v>
      </c>
      <c r="C86" s="969" t="s">
        <v>1434</v>
      </c>
      <c r="D86" s="1007"/>
      <c r="E86" s="1007"/>
      <c r="F86" s="1007"/>
      <c r="G86" s="1007"/>
      <c r="H86" s="1007"/>
      <c r="I86" s="1007"/>
      <c r="J86" s="1007"/>
      <c r="K86" s="1007"/>
      <c r="L86" s="1007"/>
      <c r="M86" s="1007"/>
    </row>
    <row r="87" spans="1:13" collapsed="1" x14ac:dyDescent="0.2">
      <c r="A87" s="969" t="s">
        <v>1528</v>
      </c>
      <c r="B87" s="969" t="s">
        <v>1529</v>
      </c>
      <c r="C87" s="969" t="s">
        <v>1384</v>
      </c>
      <c r="D87" s="1007"/>
      <c r="E87" s="1007"/>
      <c r="F87" s="1007">
        <v>6.1165964467281899</v>
      </c>
      <c r="G87" s="1007">
        <v>23.1419384155529</v>
      </c>
      <c r="H87" s="1007">
        <v>1.64978699461458</v>
      </c>
      <c r="I87" s="1007">
        <v>51.7259680551294</v>
      </c>
      <c r="J87" s="1007"/>
      <c r="K87" s="1007">
        <v>13.204590840391001</v>
      </c>
      <c r="L87" s="1007">
        <v>5.2397294817911897</v>
      </c>
      <c r="M87" s="1007">
        <v>1.16385374783988</v>
      </c>
    </row>
    <row r="88" spans="1:13" collapsed="1" x14ac:dyDescent="0.2">
      <c r="A88" s="969" t="s">
        <v>1530</v>
      </c>
      <c r="B88" s="969" t="s">
        <v>1531</v>
      </c>
      <c r="C88" s="969" t="s">
        <v>1307</v>
      </c>
      <c r="D88" s="1007">
        <v>0.40465996806586002</v>
      </c>
      <c r="E88" s="1007">
        <v>1.1157391827995</v>
      </c>
      <c r="F88" s="1007">
        <v>9.5859530255861997E-2</v>
      </c>
      <c r="G88" s="1007"/>
      <c r="H88" s="1007">
        <v>0.100747512666901</v>
      </c>
      <c r="I88" s="1007">
        <v>6.36459532850425</v>
      </c>
      <c r="J88" s="1007">
        <v>25.5593379809117</v>
      </c>
      <c r="K88" s="1007">
        <v>1.23181057089421</v>
      </c>
      <c r="L88" s="1007"/>
      <c r="M88" s="1007">
        <v>4.6594997586019602</v>
      </c>
    </row>
    <row r="89" spans="1:13" collapsed="1" x14ac:dyDescent="0.2">
      <c r="A89" s="969" t="s">
        <v>1532</v>
      </c>
      <c r="B89" s="969" t="s">
        <v>1533</v>
      </c>
      <c r="C89" s="969" t="s">
        <v>1306</v>
      </c>
      <c r="D89" s="1007">
        <v>7.6998051879305001</v>
      </c>
      <c r="E89" s="1007">
        <v>13.8202507823248</v>
      </c>
      <c r="F89" s="1007">
        <v>0.69136831660623499</v>
      </c>
      <c r="G89" s="1007">
        <v>11.272626656137501</v>
      </c>
      <c r="H89" s="1007">
        <v>-1.4921895684405599</v>
      </c>
      <c r="I89" s="1007">
        <v>16.4585002350472</v>
      </c>
      <c r="J89" s="1007"/>
      <c r="K89" s="1007">
        <v>0.77104851797898699</v>
      </c>
      <c r="L89" s="1007"/>
      <c r="M89" s="1007">
        <v>-1.16008743097939</v>
      </c>
    </row>
    <row r="90" spans="1:13" collapsed="1" x14ac:dyDescent="0.2">
      <c r="A90" s="969" t="s">
        <v>1534</v>
      </c>
      <c r="B90" s="969" t="s">
        <v>1535</v>
      </c>
      <c r="C90" s="969" t="s">
        <v>1425</v>
      </c>
      <c r="D90" s="1007">
        <v>7.8949963569700596</v>
      </c>
      <c r="E90" s="1007">
        <v>41.417378314664901</v>
      </c>
      <c r="F90" s="1007">
        <v>1.31138312278548</v>
      </c>
      <c r="G90" s="1007"/>
      <c r="H90" s="1007">
        <v>-6.6927844684598403</v>
      </c>
      <c r="I90" s="1007">
        <v>175.05368850902599</v>
      </c>
      <c r="J90" s="1007"/>
      <c r="K90" s="1007">
        <v>2.0288068575521998</v>
      </c>
      <c r="L90" s="1007"/>
      <c r="M90" s="1007">
        <v>-11.0811315641298</v>
      </c>
    </row>
    <row r="91" spans="1:13" collapsed="1" x14ac:dyDescent="0.2">
      <c r="A91" s="969" t="s">
        <v>1536</v>
      </c>
      <c r="B91" s="969" t="s">
        <v>1537</v>
      </c>
      <c r="C91" s="969" t="s">
        <v>6</v>
      </c>
      <c r="D91" s="1007">
        <v>4.6955794028351301</v>
      </c>
      <c r="E91" s="1007">
        <v>9.3279299137182203</v>
      </c>
      <c r="F91" s="1007">
        <v>1.34712430125257</v>
      </c>
      <c r="G91" s="1007"/>
      <c r="H91" s="1007">
        <v>-0.48759030250897401</v>
      </c>
      <c r="I91" s="1007">
        <v>13.973045142172101</v>
      </c>
      <c r="J91" s="1007"/>
      <c r="K91" s="1007">
        <v>1.88618246707528</v>
      </c>
      <c r="L91" s="1007"/>
      <c r="M91" s="1007">
        <v>-0.25100695350352697</v>
      </c>
    </row>
    <row r="92" spans="1:13" collapsed="1" x14ac:dyDescent="0.2">
      <c r="A92" s="969" t="s">
        <v>1538</v>
      </c>
      <c r="B92" s="969" t="s">
        <v>1539</v>
      </c>
      <c r="C92" s="969" t="s">
        <v>1503</v>
      </c>
      <c r="D92" s="1007">
        <v>11.058443474971201</v>
      </c>
      <c r="E92" s="1007">
        <v>17.823217413308701</v>
      </c>
      <c r="F92" s="1007">
        <v>1.2650670526763701</v>
      </c>
      <c r="G92" s="1007">
        <v>21.069965038375901</v>
      </c>
      <c r="H92" s="1007"/>
      <c r="I92" s="1007">
        <v>55.034494904175801</v>
      </c>
      <c r="J92" s="1007">
        <v>77.627793678412999</v>
      </c>
      <c r="K92" s="1007">
        <v>2.4069790832994902</v>
      </c>
      <c r="L92" s="1007">
        <v>998.64796172625495</v>
      </c>
      <c r="M92" s="1007">
        <v>3.1582830045563601</v>
      </c>
    </row>
    <row r="93" spans="1:13" collapsed="1" x14ac:dyDescent="0.2">
      <c r="A93" s="969" t="s">
        <v>1540</v>
      </c>
      <c r="B93" s="969" t="s">
        <v>1541</v>
      </c>
      <c r="C93" s="969" t="s">
        <v>1392</v>
      </c>
      <c r="D93" s="1007">
        <v>9.1174967002090295</v>
      </c>
      <c r="E93" s="1007">
        <v>21.773974021829801</v>
      </c>
      <c r="F93" s="1007">
        <v>1.5404759606196601</v>
      </c>
      <c r="G93" s="1007">
        <v>29.1228363957703</v>
      </c>
      <c r="H93" s="1007">
        <v>-8.8150930080153191</v>
      </c>
      <c r="I93" s="1007">
        <v>15.4660089783257</v>
      </c>
      <c r="J93" s="1007">
        <v>114.082585939056</v>
      </c>
      <c r="K93" s="1007">
        <v>2.0591410366464</v>
      </c>
      <c r="L93" s="1007"/>
      <c r="M93" s="1007">
        <v>-7.83132561642498</v>
      </c>
    </row>
    <row r="94" spans="1:13" collapsed="1" x14ac:dyDescent="0.2">
      <c r="A94" s="969" t="s">
        <v>1542</v>
      </c>
      <c r="B94" s="969" t="s">
        <v>1543</v>
      </c>
      <c r="C94" s="969" t="s">
        <v>1384</v>
      </c>
      <c r="D94" s="1007">
        <v>7.9517383887276596</v>
      </c>
      <c r="E94" s="1007">
        <v>20.318901277828601</v>
      </c>
      <c r="F94" s="1007">
        <v>1.07062781420116</v>
      </c>
      <c r="G94" s="1007">
        <v>23.668134574535301</v>
      </c>
      <c r="H94" s="1007">
        <v>3.0866687463363398</v>
      </c>
      <c r="I94" s="1007"/>
      <c r="J94" s="1007"/>
      <c r="K94" s="1007">
        <v>3.6951288124253199</v>
      </c>
      <c r="L94" s="1007"/>
      <c r="M94" s="1007">
        <v>5.0105785858842902</v>
      </c>
    </row>
    <row r="95" spans="1:13" collapsed="1" x14ac:dyDescent="0.2">
      <c r="A95" s="969" t="s">
        <v>1544</v>
      </c>
      <c r="B95" s="969" t="s">
        <v>1545</v>
      </c>
      <c r="C95" s="969" t="s">
        <v>1546</v>
      </c>
      <c r="D95" s="1007">
        <v>4.7272987690015604</v>
      </c>
      <c r="E95" s="1007">
        <v>11.9777944322978</v>
      </c>
      <c r="F95" s="1007">
        <v>0.84817361220129295</v>
      </c>
      <c r="G95" s="1007"/>
      <c r="H95" s="1007"/>
      <c r="I95" s="1007">
        <v>5.7598587906315197</v>
      </c>
      <c r="J95" s="1007">
        <v>21.345958321957202</v>
      </c>
      <c r="K95" s="1007">
        <v>1.1029333426971799</v>
      </c>
      <c r="L95" s="1007"/>
      <c r="M95" s="1007">
        <v>-36.360956110959201</v>
      </c>
    </row>
    <row r="96" spans="1:13" collapsed="1" x14ac:dyDescent="0.2">
      <c r="A96" s="969" t="s">
        <v>1547</v>
      </c>
      <c r="B96" s="969" t="s">
        <v>1548</v>
      </c>
      <c r="C96" s="969" t="s">
        <v>1312</v>
      </c>
      <c r="D96" s="1007">
        <v>17.4658789383437</v>
      </c>
      <c r="E96" s="1007">
        <v>190.881430147668</v>
      </c>
      <c r="F96" s="1007">
        <v>3.5222798453384101</v>
      </c>
      <c r="G96" s="1007">
        <v>53.032954941421998</v>
      </c>
      <c r="H96" s="1007">
        <v>5.5797131082364402</v>
      </c>
      <c r="I96" s="1007"/>
      <c r="J96" s="1007"/>
      <c r="K96" s="1007">
        <v>8.5650638126518501</v>
      </c>
      <c r="L96" s="1007"/>
      <c r="M96" s="1007">
        <v>5.8818822857813702</v>
      </c>
    </row>
    <row r="97" spans="1:13" collapsed="1" x14ac:dyDescent="0.2">
      <c r="A97" s="969" t="s">
        <v>1549</v>
      </c>
      <c r="B97" s="969" t="s">
        <v>1550</v>
      </c>
      <c r="C97" s="969" t="s">
        <v>1306</v>
      </c>
      <c r="D97" s="1007">
        <v>7.6302386026124998</v>
      </c>
      <c r="E97" s="1007">
        <v>9.5261409442927008</v>
      </c>
      <c r="F97" s="1007">
        <v>0.67158241290103504</v>
      </c>
      <c r="G97" s="1007">
        <v>13.0221662348848</v>
      </c>
      <c r="H97" s="1007">
        <v>5.0723562152133601</v>
      </c>
      <c r="I97" s="1007"/>
      <c r="J97" s="1007"/>
      <c r="K97" s="1007">
        <v>0.89925155632551901</v>
      </c>
      <c r="L97" s="1007"/>
      <c r="M97" s="1007">
        <v>6.3607059137498698</v>
      </c>
    </row>
    <row r="98" spans="1:13" collapsed="1" x14ac:dyDescent="0.2">
      <c r="A98" s="969" t="s">
        <v>1551</v>
      </c>
      <c r="B98" s="969" t="s">
        <v>1552</v>
      </c>
      <c r="C98" s="969" t="s">
        <v>1384</v>
      </c>
      <c r="D98" s="1007">
        <v>6.9377823972767398</v>
      </c>
      <c r="E98" s="1007">
        <v>17.9566298806993</v>
      </c>
      <c r="F98" s="1007">
        <v>1.0445673073478801</v>
      </c>
      <c r="G98" s="1007">
        <v>14.038954801970201</v>
      </c>
      <c r="H98" s="1007">
        <v>6.79846840165425</v>
      </c>
      <c r="I98" s="1007"/>
      <c r="J98" s="1007"/>
      <c r="K98" s="1007">
        <v>2.4154899397281602</v>
      </c>
      <c r="L98" s="1007"/>
      <c r="M98" s="1007">
        <v>-643.94951696912506</v>
      </c>
    </row>
    <row r="99" spans="1:13" collapsed="1" x14ac:dyDescent="0.2">
      <c r="A99" s="969" t="s">
        <v>1553</v>
      </c>
      <c r="B99" s="969" t="s">
        <v>1554</v>
      </c>
      <c r="C99" s="969" t="s">
        <v>1405</v>
      </c>
      <c r="D99" s="1007"/>
      <c r="E99" s="1007"/>
      <c r="F99" s="1007"/>
      <c r="G99" s="1007"/>
      <c r="H99" s="1007"/>
      <c r="I99" s="1007">
        <v>17.890501149394598</v>
      </c>
      <c r="J99" s="1007">
        <v>34.313422020022401</v>
      </c>
      <c r="K99" s="1007">
        <v>7.3755760304764504</v>
      </c>
      <c r="L99" s="1007">
        <v>62.364443951688401</v>
      </c>
      <c r="M99" s="1007">
        <v>1.5997614565668701</v>
      </c>
    </row>
    <row r="100" spans="1:13" collapsed="1" x14ac:dyDescent="0.2">
      <c r="A100" s="969" t="s">
        <v>1555</v>
      </c>
      <c r="B100" s="969" t="s">
        <v>1556</v>
      </c>
      <c r="C100" s="969" t="s">
        <v>1306</v>
      </c>
      <c r="D100" s="1007">
        <v>6.0326380889610096</v>
      </c>
      <c r="E100" s="1007">
        <v>43.407234161401099</v>
      </c>
      <c r="F100" s="1007">
        <v>1.1179673979162199</v>
      </c>
      <c r="G100" s="1007"/>
      <c r="H100" s="1007">
        <v>0.117696867061812</v>
      </c>
      <c r="I100" s="1007">
        <v>12.0261322738949</v>
      </c>
      <c r="J100" s="1007"/>
      <c r="K100" s="1007">
        <v>1.17879199737014</v>
      </c>
      <c r="L100" s="1007"/>
      <c r="M100" s="1007">
        <v>0.119248565133589</v>
      </c>
    </row>
    <row r="101" spans="1:13" collapsed="1" x14ac:dyDescent="0.2">
      <c r="A101" s="969" t="s">
        <v>1557</v>
      </c>
      <c r="B101" s="969" t="s">
        <v>1558</v>
      </c>
      <c r="C101" s="969" t="s">
        <v>1384</v>
      </c>
      <c r="D101" s="1007">
        <v>2.2483585918781799</v>
      </c>
      <c r="E101" s="1007">
        <v>4.5811144315982499</v>
      </c>
      <c r="F101" s="1007">
        <v>0.77665197983130296</v>
      </c>
      <c r="G101" s="1007">
        <v>2.9876140872877301</v>
      </c>
      <c r="H101" s="1007">
        <v>6.6551724137930997</v>
      </c>
      <c r="I101" s="1007"/>
      <c r="J101" s="1007"/>
      <c r="K101" s="1007">
        <v>2.2517436045336101</v>
      </c>
      <c r="L101" s="1007"/>
      <c r="M101" s="1007">
        <v>3.4822816585066798</v>
      </c>
    </row>
    <row r="102" spans="1:13" collapsed="1" x14ac:dyDescent="0.2">
      <c r="A102" s="969" t="s">
        <v>1559</v>
      </c>
      <c r="B102" s="969" t="s">
        <v>1560</v>
      </c>
      <c r="C102" s="969" t="s">
        <v>1384</v>
      </c>
      <c r="D102" s="1007"/>
      <c r="E102" s="1007"/>
      <c r="F102" s="1007"/>
      <c r="G102" s="1007"/>
      <c r="H102" s="1007"/>
      <c r="I102" s="1007"/>
      <c r="J102" s="1007"/>
      <c r="K102" s="1007">
        <v>3.65940261225948</v>
      </c>
      <c r="L102" s="1007"/>
      <c r="M102" s="1007">
        <v>-8.7597040196995906</v>
      </c>
    </row>
    <row r="103" spans="1:13" collapsed="1" x14ac:dyDescent="0.2">
      <c r="A103" s="969" t="s">
        <v>1561</v>
      </c>
      <c r="B103" s="969" t="s">
        <v>1562</v>
      </c>
      <c r="C103" s="969" t="s">
        <v>1306</v>
      </c>
      <c r="D103" s="1007"/>
      <c r="E103" s="1007"/>
      <c r="F103" s="1007">
        <v>0.44142902605067202</v>
      </c>
      <c r="G103" s="1007"/>
      <c r="H103" s="1007">
        <v>1.1368909512761001</v>
      </c>
      <c r="I103" s="1007"/>
      <c r="J103" s="1007"/>
      <c r="K103" s="1007">
        <v>2.4662601647278199</v>
      </c>
      <c r="L103" s="1007"/>
      <c r="M103" s="1007">
        <v>1.2333237503062799</v>
      </c>
    </row>
    <row r="104" spans="1:13" collapsed="1" x14ac:dyDescent="0.2">
      <c r="A104" s="969" t="s">
        <v>1563</v>
      </c>
      <c r="B104" s="969" t="s">
        <v>1564</v>
      </c>
      <c r="C104" s="969" t="s">
        <v>1381</v>
      </c>
      <c r="D104" s="1007"/>
      <c r="E104" s="1007"/>
      <c r="F104" s="1007"/>
      <c r="G104" s="1007"/>
      <c r="H104" s="1007"/>
      <c r="I104" s="1007"/>
      <c r="J104" s="1007"/>
      <c r="K104" s="1007">
        <v>49.982437679161102</v>
      </c>
      <c r="L104" s="1007"/>
      <c r="M104" s="1007">
        <v>8.2137577411256899</v>
      </c>
    </row>
    <row r="105" spans="1:13" collapsed="1" x14ac:dyDescent="0.2">
      <c r="A105" s="969" t="s">
        <v>1565</v>
      </c>
      <c r="B105" s="969" t="s">
        <v>1566</v>
      </c>
      <c r="C105" s="969" t="s">
        <v>1306</v>
      </c>
      <c r="D105" s="1007"/>
      <c r="E105" s="1007"/>
      <c r="F105" s="1007"/>
      <c r="G105" s="1007"/>
      <c r="H105" s="1007">
        <v>2.28749591518587</v>
      </c>
      <c r="I105" s="1007"/>
      <c r="J105" s="1007"/>
      <c r="K105" s="1007"/>
      <c r="L105" s="1007"/>
      <c r="M105" s="1007">
        <v>2.2435350815879902</v>
      </c>
    </row>
    <row r="106" spans="1:13" collapsed="1" x14ac:dyDescent="0.2">
      <c r="A106" s="969" t="s">
        <v>1567</v>
      </c>
      <c r="B106" s="969" t="s">
        <v>1568</v>
      </c>
      <c r="C106" s="969" t="s">
        <v>1306</v>
      </c>
      <c r="D106" s="1007"/>
      <c r="E106" s="1007"/>
      <c r="F106" s="1007">
        <v>3.5726796046096999E-2</v>
      </c>
      <c r="G106" s="1007"/>
      <c r="H106" s="1007">
        <v>0.55821371610845305</v>
      </c>
      <c r="I106" s="1007"/>
      <c r="J106" s="1007"/>
      <c r="K106" s="1007">
        <v>4.0227026396149002E-2</v>
      </c>
      <c r="L106" s="1007"/>
      <c r="M106" s="1007">
        <v>0.67534218104852295</v>
      </c>
    </row>
    <row r="107" spans="1:13" collapsed="1" x14ac:dyDescent="0.2">
      <c r="A107" s="969" t="s">
        <v>1569</v>
      </c>
      <c r="B107" s="969" t="s">
        <v>1570</v>
      </c>
      <c r="C107" s="969" t="s">
        <v>1306</v>
      </c>
      <c r="D107" s="1007">
        <v>7.7705399855210704</v>
      </c>
      <c r="E107" s="1007">
        <v>13.072363972759399</v>
      </c>
      <c r="F107" s="1007">
        <v>1.5889091288625601</v>
      </c>
      <c r="G107" s="1007">
        <v>16.3113032704562</v>
      </c>
      <c r="H107" s="1007">
        <v>2.4851936218678801</v>
      </c>
      <c r="I107" s="1007">
        <v>14.100032287712001</v>
      </c>
      <c r="J107" s="1007">
        <v>31.822604694472201</v>
      </c>
      <c r="K107" s="1007">
        <v>1.9377905473761201</v>
      </c>
      <c r="L107" s="1007">
        <v>139.380389651868</v>
      </c>
      <c r="M107" s="1007">
        <v>2.4983941878504399</v>
      </c>
    </row>
    <row r="108" spans="1:13" collapsed="1" x14ac:dyDescent="0.2">
      <c r="A108" s="969" t="s">
        <v>1571</v>
      </c>
      <c r="B108" s="969" t="s">
        <v>1572</v>
      </c>
      <c r="C108" s="969" t="s">
        <v>1448</v>
      </c>
      <c r="D108" s="1007">
        <v>0.94143635994453601</v>
      </c>
      <c r="E108" s="1007"/>
      <c r="F108" s="1007">
        <v>0.100028608215257</v>
      </c>
      <c r="G108" s="1007"/>
      <c r="H108" s="1007"/>
      <c r="I108" s="1007"/>
      <c r="J108" s="1007"/>
      <c r="K108" s="1007"/>
      <c r="L108" s="1007"/>
      <c r="M108" s="1007">
        <v>6.9440110541624103</v>
      </c>
    </row>
    <row r="109" spans="1:13" collapsed="1" x14ac:dyDescent="0.2">
      <c r="A109" s="969" t="s">
        <v>1573</v>
      </c>
      <c r="B109" s="969" t="s">
        <v>1574</v>
      </c>
      <c r="C109" s="969" t="s">
        <v>1448</v>
      </c>
      <c r="D109" s="1007">
        <v>21.868893968538899</v>
      </c>
      <c r="E109" s="1007">
        <v>44.692739046970303</v>
      </c>
      <c r="F109" s="1007">
        <v>3.4574563350168099</v>
      </c>
      <c r="G109" s="1007">
        <v>3.5588304979352898</v>
      </c>
      <c r="H109" s="1007">
        <v>0.21157067641112801</v>
      </c>
      <c r="I109" s="1007"/>
      <c r="J109" s="1007"/>
      <c r="K109" s="1007">
        <v>282.94806225718099</v>
      </c>
      <c r="L109" s="1007"/>
      <c r="M109" s="1007">
        <v>0.32208511555393898</v>
      </c>
    </row>
    <row r="110" spans="1:13" collapsed="1" x14ac:dyDescent="0.2">
      <c r="A110" s="969" t="s">
        <v>1575</v>
      </c>
      <c r="B110" s="969" t="s">
        <v>1576</v>
      </c>
      <c r="C110" s="969" t="s">
        <v>1476</v>
      </c>
      <c r="D110" s="1007"/>
      <c r="E110" s="1007"/>
      <c r="F110" s="1007"/>
      <c r="G110" s="1007"/>
      <c r="H110" s="1007"/>
      <c r="I110" s="1007"/>
      <c r="J110" s="1007"/>
      <c r="K110" s="1007">
        <v>3.1975326942916298</v>
      </c>
      <c r="L110" s="1007"/>
      <c r="M110" s="1007">
        <v>1.49687860510258</v>
      </c>
    </row>
    <row r="111" spans="1:13" collapsed="1" x14ac:dyDescent="0.2">
      <c r="A111" s="969" t="s">
        <v>1577</v>
      </c>
      <c r="B111" s="969" t="s">
        <v>1578</v>
      </c>
      <c r="C111" s="969" t="s">
        <v>1381</v>
      </c>
      <c r="D111" s="1007"/>
      <c r="E111" s="1007"/>
      <c r="F111" s="1007"/>
      <c r="G111" s="1007"/>
      <c r="H111" s="1007"/>
      <c r="I111" s="1007"/>
      <c r="J111" s="1007"/>
      <c r="K111" s="1007">
        <v>55.235898151355102</v>
      </c>
      <c r="L111" s="1007"/>
      <c r="M111" s="1007">
        <v>5.8710178119174996</v>
      </c>
    </row>
    <row r="112" spans="1:13" collapsed="1" x14ac:dyDescent="0.2">
      <c r="A112" s="969" t="s">
        <v>1579</v>
      </c>
      <c r="B112" s="969" t="s">
        <v>1436</v>
      </c>
      <c r="C112" s="969" t="s">
        <v>1306</v>
      </c>
      <c r="D112" s="1007">
        <v>4.2551766529606798</v>
      </c>
      <c r="E112" s="1007">
        <v>13.2137540908825</v>
      </c>
      <c r="F112" s="1007">
        <v>0.432512981434726</v>
      </c>
      <c r="G112" s="1007">
        <v>18.9233035902339</v>
      </c>
      <c r="H112" s="1007">
        <v>0.73640167364016695</v>
      </c>
      <c r="I112" s="1007">
        <v>23.247861004835201</v>
      </c>
      <c r="J112" s="1007"/>
      <c r="K112" s="1007">
        <v>0.493308931197389</v>
      </c>
      <c r="L112" s="1007"/>
      <c r="M112" s="1007">
        <v>0.73170230966462901</v>
      </c>
    </row>
    <row r="113" spans="1:13" collapsed="1" x14ac:dyDescent="0.2">
      <c r="A113" s="969" t="s">
        <v>1580</v>
      </c>
      <c r="B113" s="969" t="s">
        <v>1461</v>
      </c>
      <c r="C113" s="969" t="s">
        <v>1314</v>
      </c>
      <c r="D113" s="1007">
        <v>5.1715816746415797</v>
      </c>
      <c r="E113" s="1007">
        <v>8.0921795765067905</v>
      </c>
      <c r="F113" s="1007">
        <v>1.27948231050685</v>
      </c>
      <c r="G113" s="1007">
        <v>8.2348289265923498</v>
      </c>
      <c r="H113" s="1007">
        <v>2.22731725630927</v>
      </c>
      <c r="I113" s="1007">
        <v>7.3921288506945597</v>
      </c>
      <c r="J113" s="1007">
        <v>13.503979191777301</v>
      </c>
      <c r="K113" s="1007">
        <v>1.78418492228567</v>
      </c>
      <c r="L113" s="1007">
        <v>11.5200388976337</v>
      </c>
      <c r="M113" s="1007">
        <v>2.2927650974914502</v>
      </c>
    </row>
    <row r="114" spans="1:13" collapsed="1" x14ac:dyDescent="0.2">
      <c r="A114" s="969" t="s">
        <v>1581</v>
      </c>
      <c r="B114" s="969" t="s">
        <v>1537</v>
      </c>
      <c r="C114" s="969" t="s">
        <v>6</v>
      </c>
      <c r="D114" s="1007">
        <v>4.6955794028351301</v>
      </c>
      <c r="E114" s="1007">
        <v>9.3279299137182203</v>
      </c>
      <c r="F114" s="1007">
        <v>1.34712430125257</v>
      </c>
      <c r="G114" s="1007"/>
      <c r="H114" s="1007">
        <v>-0.48759030250897401</v>
      </c>
      <c r="I114" s="1007">
        <v>13.973045142172101</v>
      </c>
      <c r="J114" s="1007"/>
      <c r="K114" s="1007">
        <v>1.88618246707528</v>
      </c>
      <c r="L114" s="1007"/>
      <c r="M114" s="1007">
        <v>-0.25100695350352697</v>
      </c>
    </row>
    <row r="115" spans="1:13" collapsed="1" x14ac:dyDescent="0.2">
      <c r="A115" s="969" t="s">
        <v>1582</v>
      </c>
      <c r="B115" s="969" t="s">
        <v>1556</v>
      </c>
      <c r="C115" s="969" t="s">
        <v>1306</v>
      </c>
      <c r="D115" s="1007">
        <v>6.0326380889610096</v>
      </c>
      <c r="E115" s="1007">
        <v>43.407234161401099</v>
      </c>
      <c r="F115" s="1007">
        <v>1.1179673979162199</v>
      </c>
      <c r="G115" s="1007"/>
      <c r="H115" s="1007">
        <v>0.117696867061812</v>
      </c>
      <c r="I115" s="1007">
        <v>12.0261322738949</v>
      </c>
      <c r="J115" s="1007"/>
      <c r="K115" s="1007">
        <v>1.17879199737014</v>
      </c>
      <c r="L115" s="1007"/>
      <c r="M115" s="1007">
        <v>0.119248565133589</v>
      </c>
    </row>
    <row r="116" spans="1:13" collapsed="1" x14ac:dyDescent="0.2">
      <c r="A116" s="969" t="s">
        <v>1583</v>
      </c>
      <c r="B116" s="969" t="s">
        <v>1498</v>
      </c>
      <c r="C116" s="969" t="s">
        <v>1306</v>
      </c>
      <c r="D116" s="1007">
        <v>7.0740987976693104</v>
      </c>
      <c r="E116" s="1007">
        <v>25.040412661015399</v>
      </c>
      <c r="F116" s="1007">
        <v>0.71573315283869399</v>
      </c>
      <c r="G116" s="1007">
        <v>57.673917990547203</v>
      </c>
      <c r="H116" s="1007">
        <v>1.2522349887747699</v>
      </c>
      <c r="I116" s="1007"/>
      <c r="J116" s="1007"/>
      <c r="K116" s="1007">
        <v>0.91974666709256203</v>
      </c>
      <c r="L116" s="1007"/>
      <c r="M116" s="1007">
        <v>1.27094305277428</v>
      </c>
    </row>
    <row r="117" spans="1:13" collapsed="1" x14ac:dyDescent="0.2">
      <c r="A117" s="969" t="s">
        <v>1584</v>
      </c>
      <c r="B117" s="969" t="s">
        <v>1585</v>
      </c>
      <c r="C117" s="969" t="s">
        <v>1306</v>
      </c>
      <c r="D117" s="1007">
        <v>5.6397338861069697</v>
      </c>
      <c r="E117" s="1007">
        <v>6.3484080444998696</v>
      </c>
      <c r="F117" s="1007">
        <v>0.25514505239187901</v>
      </c>
      <c r="G117" s="1007">
        <v>6.5189848861272299</v>
      </c>
      <c r="H117" s="1007">
        <v>1.05631114292532</v>
      </c>
      <c r="I117" s="1007">
        <v>5.3227996151094503</v>
      </c>
      <c r="J117" s="1007">
        <v>5.8011226336516604</v>
      </c>
      <c r="K117" s="1007">
        <v>0.24764749496214999</v>
      </c>
      <c r="L117" s="1007">
        <v>5.6880964984864297</v>
      </c>
      <c r="M117" s="1007">
        <v>1.0169351544963301</v>
      </c>
    </row>
    <row r="118" spans="1:13" collapsed="1" x14ac:dyDescent="0.2">
      <c r="A118" s="1008" t="s">
        <v>1586</v>
      </c>
      <c r="B118" s="1008"/>
      <c r="C118" s="1008"/>
      <c r="D118" s="1009">
        <v>7.5071824011528268</v>
      </c>
      <c r="E118" s="1009">
        <v>24.545480169402889</v>
      </c>
      <c r="F118" s="1009">
        <v>1.2208097095282313</v>
      </c>
      <c r="G118" s="1009">
        <v>20.053285866272095</v>
      </c>
      <c r="H118" s="1009">
        <v>1.6369466326377804</v>
      </c>
      <c r="I118" s="1009">
        <v>18.862398332522005</v>
      </c>
      <c r="J118" s="1009">
        <v>22.549811298433401</v>
      </c>
      <c r="K118" s="1009">
        <v>6.0966413530460715</v>
      </c>
      <c r="L118" s="1009">
        <v>80.227399290185076</v>
      </c>
      <c r="M118" s="1009">
        <v>1.8199727234706724</v>
      </c>
    </row>
    <row r="119" spans="1:13" collapsed="1" x14ac:dyDescent="0.2">
      <c r="A119" s="1008" t="s">
        <v>1587</v>
      </c>
      <c r="B119" s="1008"/>
      <c r="C119" s="1008"/>
      <c r="D119" s="1009">
        <v>5.7055431287528204</v>
      </c>
      <c r="E119" s="1009">
        <v>11.1825650676926</v>
      </c>
      <c r="F119" s="1009">
        <v>1.0031225435909439</v>
      </c>
      <c r="G119" s="1009">
        <v>12.676255441259201</v>
      </c>
      <c r="H119" s="1009">
        <v>1.41336633663366</v>
      </c>
      <c r="I119" s="1009">
        <v>9.0493565780448151</v>
      </c>
      <c r="J119" s="1009">
        <v>13.447044435909399</v>
      </c>
      <c r="K119" s="1009">
        <v>1.5617205945866901</v>
      </c>
      <c r="L119" s="1009">
        <v>10.957566286825649</v>
      </c>
      <c r="M119" s="1009">
        <v>1.2521334015402799</v>
      </c>
    </row>
    <row r="120" spans="1:13" collapsed="1" x14ac:dyDescent="0.2">
      <c r="A120" s="1008" t="s">
        <v>1588</v>
      </c>
      <c r="B120" s="1008"/>
      <c r="C120" s="1008"/>
      <c r="D120" s="1009">
        <v>34.5295599812831</v>
      </c>
      <c r="E120" s="1009">
        <v>190.881430147668</v>
      </c>
      <c r="F120" s="1009">
        <v>6.1165964467281899</v>
      </c>
      <c r="G120" s="1009">
        <v>132.35673431376</v>
      </c>
      <c r="H120" s="1009">
        <v>12.676449734654</v>
      </c>
      <c r="I120" s="1009">
        <v>175.05368850902599</v>
      </c>
      <c r="J120" s="1009">
        <v>114.082585939056</v>
      </c>
      <c r="K120" s="1009">
        <v>282.94806225718099</v>
      </c>
      <c r="L120" s="1009">
        <v>998.64796172625495</v>
      </c>
      <c r="M120" s="1009">
        <v>822.68249991180596</v>
      </c>
    </row>
    <row r="121" spans="1:13" collapsed="1" x14ac:dyDescent="0.2">
      <c r="A121" s="1008" t="s">
        <v>1589</v>
      </c>
      <c r="B121" s="1008"/>
      <c r="C121" s="1008"/>
      <c r="D121" s="1009">
        <v>1.646568434196E-2</v>
      </c>
      <c r="E121" s="1009">
        <v>5.3956546954397999E-2</v>
      </c>
      <c r="F121" s="1009">
        <v>2.4110325373000001E-4</v>
      </c>
      <c r="G121" s="1009">
        <v>2.4466963699991902</v>
      </c>
      <c r="H121" s="1009">
        <v>-8.8150930080153191</v>
      </c>
      <c r="I121" s="1009">
        <v>4.2131396009140003E-3</v>
      </c>
      <c r="J121" s="1009">
        <v>4.2131396009140003E-3</v>
      </c>
      <c r="K121" s="1009">
        <v>4.0227026396149002E-2</v>
      </c>
      <c r="L121" s="1009">
        <v>4.9948672996530004E-3</v>
      </c>
      <c r="M121" s="1009">
        <v>-643.94951696912506</v>
      </c>
    </row>
    <row r="122" spans="1:13" collapsed="1" x14ac:dyDescent="0.2">
      <c r="A122" s="1008" t="s">
        <v>1590</v>
      </c>
      <c r="B122" s="1008"/>
      <c r="C122" s="1008"/>
      <c r="D122" s="1009">
        <v>4.2714527185011404</v>
      </c>
      <c r="E122" s="1009">
        <v>8.6336474084050892</v>
      </c>
      <c r="F122" s="1009">
        <v>0.56792210228699502</v>
      </c>
      <c r="G122" s="1009">
        <v>8.4917020975748496</v>
      </c>
      <c r="H122" s="1009">
        <v>0.32878584762991453</v>
      </c>
      <c r="I122" s="1009">
        <v>5.0667558664718202</v>
      </c>
      <c r="J122" s="1009">
        <v>9.2324127632528104</v>
      </c>
      <c r="K122" s="1009">
        <v>0.95412923301686159</v>
      </c>
      <c r="L122" s="1009">
        <v>5.2397294817911897</v>
      </c>
      <c r="M122" s="1009">
        <v>-0.169710394848027</v>
      </c>
    </row>
    <row r="123" spans="1:13" collapsed="1" x14ac:dyDescent="0.2">
      <c r="A123" s="1008" t="s">
        <v>1591</v>
      </c>
      <c r="B123" s="1008"/>
      <c r="C123" s="1008"/>
      <c r="D123" s="1009">
        <v>7.6998051879305001</v>
      </c>
      <c r="E123" s="1009">
        <v>22.221595339835201</v>
      </c>
      <c r="F123" s="1009">
        <v>1.3518131687477801</v>
      </c>
      <c r="G123" s="1009">
        <v>19.582541873382102</v>
      </c>
      <c r="H123" s="1009">
        <v>2.3182795998357002</v>
      </c>
      <c r="I123" s="1009">
        <v>16.852638687064101</v>
      </c>
      <c r="J123" s="1009">
        <v>21.345958321957202</v>
      </c>
      <c r="K123" s="1009">
        <v>2.89379928950187</v>
      </c>
      <c r="L123" s="1009">
        <v>29.843828557063901</v>
      </c>
      <c r="M123" s="1009">
        <v>2.3092842203880699</v>
      </c>
    </row>
    <row r="124" spans="1:13" collapsed="1" x14ac:dyDescent="0.2">
      <c r="A124" s="1008" t="s">
        <v>1592</v>
      </c>
      <c r="B124" s="1008"/>
      <c r="C124" s="1008"/>
      <c r="D124" s="1009">
        <v>7.58157509784788</v>
      </c>
      <c r="E124" s="1009">
        <v>17.9566298806993</v>
      </c>
      <c r="F124" s="1009">
        <v>1.19187348008992</v>
      </c>
      <c r="G124" s="1009">
        <v>14.038954801970201</v>
      </c>
      <c r="H124" s="1009">
        <v>2.5319282272180499</v>
      </c>
      <c r="I124" s="1009">
        <v>7.20147904604607</v>
      </c>
      <c r="J124" s="1009">
        <v>12.3862236769051</v>
      </c>
      <c r="K124" s="1009">
        <v>2.5998279442426999</v>
      </c>
      <c r="L124" s="1009">
        <v>7.3493385595296399</v>
      </c>
      <c r="M124" s="1009">
        <v>1.30086648369543</v>
      </c>
    </row>
    <row r="125" spans="1:13" collapsed="1" x14ac:dyDescent="0.2">
      <c r="A125" s="1008" t="s">
        <v>1593</v>
      </c>
      <c r="B125" s="1008"/>
      <c r="C125" s="1008"/>
      <c r="D125" s="1009">
        <v>9.7870850304767902</v>
      </c>
      <c r="E125" s="1009">
        <v>12.6949303557994</v>
      </c>
      <c r="F125" s="1009">
        <v>1.52559429181483</v>
      </c>
      <c r="G125" s="1009">
        <v>14.9617862563596</v>
      </c>
      <c r="H125" s="1009">
        <v>2.0004247186239099</v>
      </c>
      <c r="I125" s="1009">
        <v>13.613678747286601</v>
      </c>
      <c r="J125" s="1009">
        <v>17.729290222953999</v>
      </c>
      <c r="K125" s="1009">
        <v>1.72638463519814</v>
      </c>
      <c r="L125" s="1009">
        <v>18.261401178581401</v>
      </c>
      <c r="M125" s="1009">
        <v>1.5066222588102101</v>
      </c>
    </row>
  </sheetData>
  <autoFilter ref="A1:M125" xr:uid="{00000000-0001-0000-0000-000000000000}"/>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D5804-6094-456D-8261-DAF8989DE323}">
  <sheetPr>
    <tabColor theme="5" tint="0.39997558519241921"/>
  </sheetPr>
  <dimension ref="A1:Q23"/>
  <sheetViews>
    <sheetView topLeftCell="A13" zoomScale="60" zoomScaleNormal="60" workbookViewId="0">
      <selection activeCell="E54" sqref="E54:H54"/>
    </sheetView>
  </sheetViews>
  <sheetFormatPr baseColWidth="10" defaultColWidth="8.83203125" defaultRowHeight="15" x14ac:dyDescent="0.2"/>
  <cols>
    <col min="1" max="17" width="14" style="968" customWidth="1"/>
    <col min="18" max="16384" width="8.83203125" style="968"/>
  </cols>
  <sheetData>
    <row r="1" spans="1:17" ht="44" customHeight="1" x14ac:dyDescent="0.2">
      <c r="A1" s="1010" t="s">
        <v>1315</v>
      </c>
      <c r="B1" s="1010" t="s">
        <v>1316</v>
      </c>
      <c r="C1" s="1010" t="s">
        <v>1594</v>
      </c>
      <c r="D1" s="1010" t="s">
        <v>1317</v>
      </c>
      <c r="E1" s="1010" t="s">
        <v>1595</v>
      </c>
      <c r="F1" s="1010" t="s">
        <v>1596</v>
      </c>
      <c r="G1" s="1010" t="s">
        <v>1301</v>
      </c>
      <c r="H1" s="1010" t="s">
        <v>1597</v>
      </c>
      <c r="I1" s="1010" t="s">
        <v>1598</v>
      </c>
      <c r="J1" s="1010" t="s">
        <v>1599</v>
      </c>
      <c r="K1" s="1010" t="s">
        <v>1600</v>
      </c>
      <c r="L1" s="1010" t="s">
        <v>1601</v>
      </c>
      <c r="M1" s="1010" t="s">
        <v>1602</v>
      </c>
      <c r="N1" s="1010" t="s">
        <v>1603</v>
      </c>
      <c r="O1" s="1010" t="s">
        <v>1604</v>
      </c>
      <c r="P1" s="1010" t="s">
        <v>1605</v>
      </c>
      <c r="Q1" s="1010" t="s">
        <v>1606</v>
      </c>
    </row>
    <row r="2" spans="1:17" x14ac:dyDescent="0.2">
      <c r="A2" s="969" t="s">
        <v>1328</v>
      </c>
      <c r="B2" s="969" t="s">
        <v>1329</v>
      </c>
      <c r="C2" s="969">
        <v>1</v>
      </c>
      <c r="D2" s="969" t="s">
        <v>1191</v>
      </c>
      <c r="E2" s="969">
        <v>-4.9959139393991846E-2</v>
      </c>
      <c r="F2" s="969">
        <v>-3.2943440588519772E-2</v>
      </c>
      <c r="G2" s="969">
        <v>-174.45940876828487</v>
      </c>
      <c r="H2" s="969">
        <v>1.9448377963208627</v>
      </c>
      <c r="I2" s="1007">
        <v>232466969.79803801</v>
      </c>
      <c r="J2" s="1011">
        <v>10965984920</v>
      </c>
      <c r="K2" s="1007">
        <v>-4653142000</v>
      </c>
      <c r="L2" s="1007">
        <v>9266150000</v>
      </c>
      <c r="M2" s="1007">
        <v>-54446000</v>
      </c>
      <c r="N2" s="1007">
        <v>4884015000</v>
      </c>
      <c r="O2" s="1007">
        <v>47599000</v>
      </c>
      <c r="P2" s="1007">
        <v>-4084207000</v>
      </c>
      <c r="Q2" s="1007">
        <v>-7056548000</v>
      </c>
    </row>
    <row r="3" spans="1:17" x14ac:dyDescent="0.2">
      <c r="A3" s="969" t="s">
        <v>1460</v>
      </c>
      <c r="B3" s="969" t="s">
        <v>1461</v>
      </c>
      <c r="C3" s="969">
        <v>1</v>
      </c>
      <c r="D3" s="969" t="s">
        <v>1314</v>
      </c>
      <c r="E3" s="969">
        <v>79.057614079463548</v>
      </c>
      <c r="F3" s="969">
        <v>2.6675465863781431</v>
      </c>
      <c r="G3" s="969">
        <v>10.487588803326579</v>
      </c>
      <c r="H3" s="969">
        <v>2.6842716863883185</v>
      </c>
      <c r="I3" s="1007">
        <v>3466202031.6999998</v>
      </c>
      <c r="J3" s="1011">
        <v>42508000</v>
      </c>
      <c r="K3" s="1007">
        <v>43844000</v>
      </c>
      <c r="L3" s="1007">
        <v>586863000</v>
      </c>
      <c r="M3" s="1007">
        <v>386463000</v>
      </c>
      <c r="N3" s="1007">
        <v>1509931000</v>
      </c>
      <c r="O3" s="1007">
        <v>6495000</v>
      </c>
      <c r="P3" s="1007">
        <v>54330000</v>
      </c>
      <c r="Q3" s="1007">
        <v>1299397000</v>
      </c>
    </row>
    <row r="4" spans="1:17" x14ac:dyDescent="0.2">
      <c r="A4" s="969" t="s">
        <v>1530</v>
      </c>
      <c r="B4" s="969" t="s">
        <v>1531</v>
      </c>
      <c r="C4" s="969">
        <v>1</v>
      </c>
      <c r="D4" s="969" t="s">
        <v>1307</v>
      </c>
      <c r="E4" s="969">
        <v>18.478716607306733</v>
      </c>
      <c r="F4" s="969">
        <v>6.1736190698703366</v>
      </c>
      <c r="G4" s="969">
        <v>5.4897049856985092</v>
      </c>
      <c r="H4" s="969">
        <v>1.7816832736505304</v>
      </c>
      <c r="I4" s="1007">
        <v>1933077429.5387299</v>
      </c>
      <c r="J4" s="1011">
        <v>1165977000</v>
      </c>
      <c r="K4" s="1007">
        <v>104611022</v>
      </c>
      <c r="L4" s="1007">
        <v>1992456582.2228</v>
      </c>
      <c r="M4" s="1007">
        <v>715071943.20790005</v>
      </c>
      <c r="N4" s="1007">
        <v>2203272641</v>
      </c>
      <c r="O4" s="1007">
        <v>17165635.627016701</v>
      </c>
      <c r="P4" s="1007">
        <v>133910678</v>
      </c>
      <c r="Q4" s="1007">
        <v>313119000</v>
      </c>
    </row>
    <row r="5" spans="1:17" x14ac:dyDescent="0.2">
      <c r="A5" s="969" t="s">
        <v>1536</v>
      </c>
      <c r="B5" s="969" t="s">
        <v>1537</v>
      </c>
      <c r="C5" s="969">
        <v>1</v>
      </c>
      <c r="D5" s="969" t="s">
        <v>6</v>
      </c>
      <c r="E5" s="969">
        <v>-2.0131385886221405</v>
      </c>
      <c r="F5" s="969">
        <v>-0.46265042375717214</v>
      </c>
      <c r="G5" s="969">
        <v>61.248593042507181</v>
      </c>
      <c r="H5" s="969">
        <v>3.0389607222380928</v>
      </c>
      <c r="I5" s="1007">
        <v>1522677702.58182</v>
      </c>
      <c r="J5" s="1011">
        <v>418683100</v>
      </c>
      <c r="K5" s="1007">
        <v>-756370033.92995</v>
      </c>
      <c r="L5" s="1007">
        <v>3919730894.20678</v>
      </c>
      <c r="M5" s="1007">
        <v>88857691.686264694</v>
      </c>
      <c r="N5" s="1007">
        <v>1790878229.17976</v>
      </c>
      <c r="O5" s="1007">
        <v>0</v>
      </c>
      <c r="P5" s="1007">
        <v>-756370033.92995</v>
      </c>
      <c r="Q5" s="1007">
        <v>-3291205680.1249499</v>
      </c>
    </row>
    <row r="6" spans="1:17" x14ac:dyDescent="0.2">
      <c r="A6" s="969" t="s">
        <v>1580</v>
      </c>
      <c r="B6" s="969" t="s">
        <v>1461</v>
      </c>
      <c r="C6" s="969">
        <v>1</v>
      </c>
      <c r="D6" s="969" t="s">
        <v>1314</v>
      </c>
      <c r="E6" s="969">
        <v>79.057614079463548</v>
      </c>
      <c r="F6" s="969">
        <v>2.6675465863781431</v>
      </c>
      <c r="G6" s="969">
        <v>10.487588803326579</v>
      </c>
      <c r="H6" s="969">
        <v>2.6842716863883185</v>
      </c>
      <c r="I6" s="1007">
        <v>3466202031.6999998</v>
      </c>
      <c r="J6" s="1011">
        <v>42508000</v>
      </c>
      <c r="K6" s="1007">
        <v>43844000</v>
      </c>
      <c r="L6" s="1007">
        <v>586863000</v>
      </c>
      <c r="M6" s="1007">
        <v>386463000</v>
      </c>
      <c r="N6" s="1007">
        <v>1509931000</v>
      </c>
      <c r="O6" s="1007">
        <v>6495000</v>
      </c>
      <c r="P6" s="1007">
        <v>54330000</v>
      </c>
      <c r="Q6" s="1007">
        <v>1299397000</v>
      </c>
    </row>
    <row r="7" spans="1:17" x14ac:dyDescent="0.2">
      <c r="A7" s="969" t="s">
        <v>1356</v>
      </c>
      <c r="B7" s="969" t="s">
        <v>1357</v>
      </c>
      <c r="C7" s="969">
        <v>2</v>
      </c>
      <c r="D7" s="969" t="s">
        <v>1306</v>
      </c>
      <c r="E7" s="969">
        <v>25.954809432835212</v>
      </c>
      <c r="F7" s="969">
        <v>2.4349768403956213</v>
      </c>
      <c r="G7" s="969">
        <v>457.35219590844446</v>
      </c>
      <c r="H7" s="969">
        <v>1.303410311328689</v>
      </c>
      <c r="I7" s="1007">
        <v>25357848815.880001</v>
      </c>
      <c r="J7" s="1011">
        <v>609000000</v>
      </c>
      <c r="K7" s="1007">
        <v>977000000</v>
      </c>
      <c r="L7" s="1007">
        <v>-4777000000</v>
      </c>
      <c r="M7" s="1007">
        <v>45000000</v>
      </c>
      <c r="N7" s="1007">
        <v>15790000000</v>
      </c>
      <c r="O7" s="1007">
        <v>368000000</v>
      </c>
      <c r="P7" s="1007">
        <v>1325000000</v>
      </c>
      <c r="Q7" s="1007">
        <v>10414000000</v>
      </c>
    </row>
    <row r="8" spans="1:17" x14ac:dyDescent="0.2">
      <c r="A8" s="969" t="s">
        <v>1435</v>
      </c>
      <c r="B8" s="969" t="s">
        <v>1436</v>
      </c>
      <c r="C8" s="969">
        <v>2</v>
      </c>
      <c r="D8" s="969" t="s">
        <v>1306</v>
      </c>
      <c r="E8" s="969">
        <v>-24.88326705934066</v>
      </c>
      <c r="F8" s="969">
        <v>1.1766055091712133</v>
      </c>
      <c r="G8" s="969">
        <v>-15.262076688471851</v>
      </c>
      <c r="H8" s="969">
        <v>0.9429774067914527</v>
      </c>
      <c r="I8" s="1007">
        <v>4528754604.8000002</v>
      </c>
      <c r="J8" s="1011">
        <v>318000000</v>
      </c>
      <c r="K8" s="1007">
        <v>-182000000</v>
      </c>
      <c r="L8" s="1007">
        <v>1164000000</v>
      </c>
      <c r="M8" s="1007">
        <v>-373000000</v>
      </c>
      <c r="N8" s="1007">
        <v>6037000000</v>
      </c>
      <c r="O8" s="1007">
        <v>7000000</v>
      </c>
      <c r="P8" s="1007">
        <v>-263000000</v>
      </c>
      <c r="Q8" s="1007">
        <v>3849000000</v>
      </c>
    </row>
    <row r="9" spans="1:17" x14ac:dyDescent="0.2">
      <c r="A9" s="969" t="s">
        <v>1468</v>
      </c>
      <c r="B9" s="969" t="s">
        <v>1469</v>
      </c>
      <c r="C9" s="969">
        <v>2</v>
      </c>
      <c r="D9" s="969" t="s">
        <v>1306</v>
      </c>
      <c r="E9" s="969">
        <v>22.278968943912862</v>
      </c>
      <c r="F9" s="969">
        <v>2.765005713725285</v>
      </c>
      <c r="G9" s="969">
        <v>15.405999644586151</v>
      </c>
      <c r="H9" s="969">
        <v>2.3085591577073732</v>
      </c>
      <c r="I9" s="1007">
        <v>3383128271.04</v>
      </c>
      <c r="J9" s="1011">
        <v>17231000</v>
      </c>
      <c r="K9" s="1007">
        <v>151853000</v>
      </c>
      <c r="L9" s="1007">
        <v>559683000</v>
      </c>
      <c r="M9" s="1007">
        <v>255927000</v>
      </c>
      <c r="N9" s="1007">
        <v>1707910000</v>
      </c>
      <c r="O9" s="1007">
        <v>52000</v>
      </c>
      <c r="P9" s="1007">
        <v>196620000</v>
      </c>
      <c r="Q9" s="1007">
        <v>1223552000</v>
      </c>
    </row>
    <row r="10" spans="1:17" x14ac:dyDescent="0.2">
      <c r="A10" s="969" t="s">
        <v>1480</v>
      </c>
      <c r="B10" s="969" t="s">
        <v>1481</v>
      </c>
      <c r="C10" s="969">
        <v>2</v>
      </c>
      <c r="D10" s="969" t="s">
        <v>1306</v>
      </c>
      <c r="E10" s="969">
        <v>89.327642883714276</v>
      </c>
      <c r="F10" s="969">
        <v>6.4347157209776169</v>
      </c>
      <c r="G10" s="969">
        <v>-62.770850088778985</v>
      </c>
      <c r="H10" s="969">
        <v>1.3583310481099704</v>
      </c>
      <c r="I10" s="1007">
        <v>25011740007.439999</v>
      </c>
      <c r="J10" s="1011">
        <v>641000000</v>
      </c>
      <c r="K10" s="1007">
        <v>280000000</v>
      </c>
      <c r="L10" s="1007">
        <v>15601000000</v>
      </c>
      <c r="M10" s="1007">
        <v>-647000000</v>
      </c>
      <c r="N10" s="1007">
        <v>29899000000</v>
      </c>
      <c r="O10" s="1007">
        <v>4000000</v>
      </c>
      <c r="P10" s="1007">
        <v>398000000</v>
      </c>
      <c r="Q10" s="1007">
        <v>3887000000</v>
      </c>
    </row>
    <row r="11" spans="1:17" x14ac:dyDescent="0.2">
      <c r="A11" s="969" t="s">
        <v>1579</v>
      </c>
      <c r="B11" s="969" t="s">
        <v>1436</v>
      </c>
      <c r="C11" s="969">
        <v>2</v>
      </c>
      <c r="D11" s="969" t="s">
        <v>1306</v>
      </c>
      <c r="E11" s="969">
        <v>-24.88326705934066</v>
      </c>
      <c r="F11" s="969">
        <v>1.1766055091712133</v>
      </c>
      <c r="G11" s="969">
        <v>-15.262076688471851</v>
      </c>
      <c r="H11" s="969">
        <v>0.9429774067914527</v>
      </c>
      <c r="I11" s="1007">
        <v>4528754604.8000002</v>
      </c>
      <c r="J11" s="1011">
        <v>318000000</v>
      </c>
      <c r="K11" s="1007">
        <v>-182000000</v>
      </c>
      <c r="L11" s="1007">
        <v>1164000000</v>
      </c>
      <c r="M11" s="1007">
        <v>-373000000</v>
      </c>
      <c r="N11" s="1007">
        <v>6037000000</v>
      </c>
      <c r="O11" s="1007">
        <v>7000000</v>
      </c>
      <c r="P11" s="1007">
        <v>-263000000</v>
      </c>
      <c r="Q11" s="1007">
        <v>3849000000</v>
      </c>
    </row>
    <row r="12" spans="1:17" x14ac:dyDescent="0.2">
      <c r="A12" s="969" t="s">
        <v>1607</v>
      </c>
      <c r="B12" s="969" t="s">
        <v>1533</v>
      </c>
      <c r="C12" s="969">
        <v>2</v>
      </c>
      <c r="D12" s="969" t="s">
        <v>1306</v>
      </c>
      <c r="E12" s="969">
        <v>-5.8351032690015057</v>
      </c>
      <c r="F12" s="969">
        <v>-1.5843815824414169</v>
      </c>
      <c r="G12" s="969">
        <v>-12.268146465301285</v>
      </c>
      <c r="H12" s="969">
        <v>1.2468496357379024</v>
      </c>
      <c r="I12" s="1007">
        <v>11629360815.120001</v>
      </c>
      <c r="J12" s="1011">
        <v>644015000</v>
      </c>
      <c r="K12" s="1007">
        <v>-1993000000</v>
      </c>
      <c r="L12" s="1007">
        <v>25629000000</v>
      </c>
      <c r="M12" s="1007">
        <v>-3037000000</v>
      </c>
      <c r="N12" s="1007">
        <v>29882000000</v>
      </c>
      <c r="O12" s="1007">
        <v>0</v>
      </c>
      <c r="P12" s="1007">
        <v>-2548000000</v>
      </c>
      <c r="Q12" s="1007">
        <v>-7340000000</v>
      </c>
    </row>
    <row r="13" spans="1:17" x14ac:dyDescent="0.2">
      <c r="A13" s="969" t="s">
        <v>1406</v>
      </c>
      <c r="B13" s="969" t="s">
        <v>1407</v>
      </c>
      <c r="C13" s="969">
        <v>3</v>
      </c>
      <c r="D13" s="969" t="s">
        <v>1306</v>
      </c>
      <c r="E13" s="969">
        <v>1.2040685766415478</v>
      </c>
      <c r="F13" s="969">
        <v>0.50981923560065823</v>
      </c>
      <c r="G13" s="969">
        <v>0.11945655500344017</v>
      </c>
      <c r="H13" s="969">
        <v>3.1557829945189228E-2</v>
      </c>
      <c r="I13" s="1007">
        <v>111528055.98</v>
      </c>
      <c r="J13" s="1011"/>
      <c r="K13" s="1007">
        <v>92626000</v>
      </c>
      <c r="L13" s="1007">
        <v>-103715000</v>
      </c>
      <c r="M13" s="1007">
        <v>65405000</v>
      </c>
      <c r="N13" s="1007">
        <v>247579000</v>
      </c>
      <c r="O13" s="1007"/>
      <c r="P13" s="1007">
        <v>118047000</v>
      </c>
      <c r="Q13" s="1007">
        <v>218760000</v>
      </c>
    </row>
    <row r="14" spans="1:17" x14ac:dyDescent="0.2">
      <c r="A14" s="969" t="s">
        <v>1333</v>
      </c>
      <c r="B14" s="969" t="s">
        <v>1334</v>
      </c>
      <c r="C14" s="969">
        <v>3</v>
      </c>
      <c r="D14" s="969" t="s">
        <v>1310</v>
      </c>
      <c r="E14" s="969">
        <v>-7.4436679871824021</v>
      </c>
      <c r="F14" s="969">
        <v>0.5693719796408</v>
      </c>
      <c r="G14" s="969">
        <v>10.475823811044764</v>
      </c>
      <c r="H14" s="969">
        <v>2.4503413099605167</v>
      </c>
      <c r="I14" s="1007">
        <v>5276393609.0163898</v>
      </c>
      <c r="J14" s="1011">
        <v>6437000000</v>
      </c>
      <c r="K14" s="1007">
        <v>-708843223.27407098</v>
      </c>
      <c r="L14" s="1007">
        <v>9052310218.3226891</v>
      </c>
      <c r="M14" s="1007">
        <v>1367787783.1652901</v>
      </c>
      <c r="N14" s="1007">
        <v>5847635906.5137596</v>
      </c>
      <c r="O14" s="1007">
        <v>38597997.237472802</v>
      </c>
      <c r="P14" s="1007">
        <v>-776956822.90464103</v>
      </c>
      <c r="Q14" s="1007">
        <v>9267041227.3275394</v>
      </c>
    </row>
    <row r="15" spans="1:17" x14ac:dyDescent="0.2">
      <c r="A15" s="969" t="s">
        <v>1335</v>
      </c>
      <c r="B15" s="969" t="s">
        <v>1336</v>
      </c>
      <c r="C15" s="969">
        <v>3</v>
      </c>
      <c r="D15" s="969" t="s">
        <v>1306</v>
      </c>
      <c r="E15" s="969">
        <v>14.070443540517243</v>
      </c>
      <c r="F15" s="969">
        <v>1.7176232051565379</v>
      </c>
      <c r="G15" s="969">
        <v>38.647310407792212</v>
      </c>
      <c r="H15" s="969">
        <v>0.96367969604922288</v>
      </c>
      <c r="I15" s="1007">
        <v>6528685802.8000002</v>
      </c>
      <c r="J15" s="1011">
        <v>126775000</v>
      </c>
      <c r="K15" s="1007">
        <v>464000000</v>
      </c>
      <c r="L15" s="1007">
        <v>-577000000</v>
      </c>
      <c r="M15" s="1007">
        <v>154000000</v>
      </c>
      <c r="N15" s="1007">
        <v>6176000000</v>
      </c>
      <c r="O15" s="1007">
        <v>70000000</v>
      </c>
      <c r="P15" s="1007">
        <v>629000000</v>
      </c>
      <c r="Q15" s="1007">
        <v>3801000000</v>
      </c>
    </row>
    <row r="16" spans="1:17" x14ac:dyDescent="0.2">
      <c r="A16" s="969" t="s">
        <v>1339</v>
      </c>
      <c r="B16" s="969" t="s">
        <v>1340</v>
      </c>
      <c r="C16" s="969">
        <v>3</v>
      </c>
      <c r="D16" s="969" t="s">
        <v>1308</v>
      </c>
      <c r="E16" s="969">
        <v>-0.76144363196020748</v>
      </c>
      <c r="F16" s="969">
        <v>-0.65053251715847171</v>
      </c>
      <c r="G16" s="969">
        <v>16.005078694991617</v>
      </c>
      <c r="H16" s="969">
        <v>0.80053345061921033</v>
      </c>
      <c r="I16" s="1007">
        <v>2827952101.5096698</v>
      </c>
      <c r="J16" s="1011">
        <v>1147406200</v>
      </c>
      <c r="K16" s="1007">
        <v>-3713934929.4045401</v>
      </c>
      <c r="L16" s="1007">
        <v>10199395220.8808</v>
      </c>
      <c r="M16" s="1007">
        <v>813950844.64452195</v>
      </c>
      <c r="N16" s="1007">
        <v>16273332878.6122</v>
      </c>
      <c r="O16" s="1007">
        <v>2365666.39700507</v>
      </c>
      <c r="P16" s="1007">
        <v>-4034513334.6975002</v>
      </c>
      <c r="Q16" s="1007">
        <v>-4347134120.0009098</v>
      </c>
    </row>
    <row r="17" spans="1:17" x14ac:dyDescent="0.2">
      <c r="A17" s="969" t="s">
        <v>1354</v>
      </c>
      <c r="B17" s="969" t="s">
        <v>1355</v>
      </c>
      <c r="C17" s="969">
        <v>3</v>
      </c>
      <c r="D17" s="969" t="s">
        <v>1306</v>
      </c>
      <c r="E17" s="969">
        <v>17.692172048074347</v>
      </c>
      <c r="F17" s="969">
        <v>0.87317254663036259</v>
      </c>
      <c r="G17" s="969">
        <v>11.187495301173582</v>
      </c>
      <c r="H17" s="969">
        <v>1.5584127509175449</v>
      </c>
      <c r="I17" s="1007">
        <v>1979930973.9000001</v>
      </c>
      <c r="J17" s="1011">
        <v>50753000</v>
      </c>
      <c r="K17" s="1007">
        <v>111910000</v>
      </c>
      <c r="L17" s="1007">
        <v>2248808000</v>
      </c>
      <c r="M17" s="1007">
        <v>377988000</v>
      </c>
      <c r="N17" s="1007">
        <v>2713491000</v>
      </c>
      <c r="O17" s="1007">
        <v>846000</v>
      </c>
      <c r="P17" s="1007">
        <v>150610000</v>
      </c>
      <c r="Q17" s="1007">
        <v>2267514000</v>
      </c>
    </row>
    <row r="18" spans="1:17" x14ac:dyDescent="0.2">
      <c r="A18" s="969" t="s">
        <v>1411</v>
      </c>
      <c r="B18" s="969" t="s">
        <v>1412</v>
      </c>
      <c r="C18" s="969">
        <v>3</v>
      </c>
      <c r="D18" s="969" t="s">
        <v>1413</v>
      </c>
      <c r="E18" s="969">
        <v>-64.029247074418592</v>
      </c>
      <c r="F18" s="969">
        <v>2.7804163337456922</v>
      </c>
      <c r="G18" s="969">
        <v>56.724454988314314</v>
      </c>
      <c r="H18" s="969">
        <v>3.5186199869857719</v>
      </c>
      <c r="I18" s="1007">
        <v>17060296205.278</v>
      </c>
      <c r="J18" s="1011">
        <v>1130500000</v>
      </c>
      <c r="K18" s="1007">
        <v>-266445366.52835399</v>
      </c>
      <c r="L18" s="1007">
        <v>1631313969.5712299</v>
      </c>
      <c r="M18" s="1007">
        <v>329515905.94744098</v>
      </c>
      <c r="N18" s="1007">
        <v>5312199170.1244802</v>
      </c>
      <c r="O18" s="1007">
        <v>-11390339.102027301</v>
      </c>
      <c r="P18" s="1007">
        <v>-475573997.23374802</v>
      </c>
      <c r="Q18" s="1007">
        <v>6135878284.9239302</v>
      </c>
    </row>
    <row r="19" spans="1:17" x14ac:dyDescent="0.2">
      <c r="D19" s="970" t="s">
        <v>1608</v>
      </c>
      <c r="E19" s="1242" t="s">
        <v>143</v>
      </c>
      <c r="F19" s="1242"/>
      <c r="G19" s="1242"/>
      <c r="H19" s="1242"/>
      <c r="I19" s="1242" t="s">
        <v>1609</v>
      </c>
      <c r="J19" s="1242"/>
      <c r="K19" s="1242"/>
      <c r="L19" s="1242"/>
    </row>
    <row r="20" spans="1:17" x14ac:dyDescent="0.2">
      <c r="E20" s="1012" t="s">
        <v>1595</v>
      </c>
      <c r="F20" s="1012" t="s">
        <v>1596</v>
      </c>
      <c r="G20" s="1012" t="s">
        <v>1301</v>
      </c>
      <c r="H20" s="1012" t="s">
        <v>1610</v>
      </c>
      <c r="I20" s="1012" t="s">
        <v>1595</v>
      </c>
      <c r="J20" s="1012" t="s">
        <v>1596</v>
      </c>
      <c r="K20" s="1012" t="s">
        <v>1611</v>
      </c>
      <c r="L20" s="1012" t="s">
        <v>1597</v>
      </c>
    </row>
    <row r="21" spans="1:17" x14ac:dyDescent="0.2">
      <c r="D21" s="969" t="s">
        <v>1612</v>
      </c>
      <c r="E21" s="1013">
        <f>AVERAGE(E2:E6)</f>
        <v>34.906169407643539</v>
      </c>
      <c r="F21" s="1013">
        <f t="shared" ref="F21:H21" si="0">AVERAGE(F2:F6)</f>
        <v>2.2026236756561866</v>
      </c>
      <c r="G21" s="1013">
        <f t="shared" si="0"/>
        <v>-17.349186626685206</v>
      </c>
      <c r="H21" s="1013">
        <f t="shared" si="0"/>
        <v>2.4268050329972248</v>
      </c>
      <c r="I21" s="1013">
        <f>MEDIAN(E2:E6)</f>
        <v>18.478716607306733</v>
      </c>
      <c r="J21" s="1013">
        <f t="shared" ref="J21:L21" si="1">MEDIAN(F2:F6)</f>
        <v>2.6675465863781431</v>
      </c>
      <c r="K21" s="1013">
        <f t="shared" si="1"/>
        <v>10.487588803326579</v>
      </c>
      <c r="L21" s="1013">
        <f t="shared" si="1"/>
        <v>2.6842716863883185</v>
      </c>
    </row>
    <row r="22" spans="1:17" x14ac:dyDescent="0.2">
      <c r="D22" s="969" t="s">
        <v>1613</v>
      </c>
      <c r="E22" s="1013">
        <f>AVERAGE(E7:E12)</f>
        <v>13.659963978796588</v>
      </c>
      <c r="F22" s="1013">
        <f t="shared" ref="F22:H22" si="2">AVERAGE(F7:F12)</f>
        <v>2.0672546184999221</v>
      </c>
      <c r="G22" s="1013">
        <f t="shared" si="2"/>
        <v>61.199174270334446</v>
      </c>
      <c r="H22" s="1013">
        <f t="shared" si="2"/>
        <v>1.3505174944111402</v>
      </c>
      <c r="I22" s="1013">
        <f>MEDIAN(E7:E12)</f>
        <v>8.221932837455677</v>
      </c>
      <c r="J22" s="1013">
        <f t="shared" ref="J22:L22" si="3">MEDIAN(F7:F12)</f>
        <v>1.8057911747834172</v>
      </c>
      <c r="K22" s="1013">
        <f t="shared" si="3"/>
        <v>-13.765111576886568</v>
      </c>
      <c r="L22" s="1013">
        <f t="shared" si="3"/>
        <v>1.2751299735332957</v>
      </c>
    </row>
    <row r="23" spans="1:17" x14ac:dyDescent="0.2">
      <c r="D23" s="969" t="s">
        <v>499</v>
      </c>
      <c r="E23" s="1013">
        <f>AVERAGE(E13:E18)</f>
        <v>-6.5446124213880106</v>
      </c>
      <c r="F23" s="1013">
        <f t="shared" ref="F23:H23" si="4">AVERAGE(F13:F18)</f>
        <v>0.96664513060259649</v>
      </c>
      <c r="G23" s="1013">
        <f t="shared" si="4"/>
        <v>22.193269959719988</v>
      </c>
      <c r="H23" s="1013">
        <f t="shared" si="4"/>
        <v>1.5538575040795759</v>
      </c>
      <c r="I23" s="1013">
        <f>MEDIAN(E13:E18)</f>
        <v>0.2213124723406702</v>
      </c>
      <c r="J23" s="1013">
        <f t="shared" ref="J23:L23" si="5">MEDIAN(F13:F18)</f>
        <v>0.72127226313558124</v>
      </c>
      <c r="K23" s="1013">
        <f t="shared" si="5"/>
        <v>13.596286998082601</v>
      </c>
      <c r="L23" s="1013">
        <f t="shared" si="5"/>
        <v>1.2610462234833839</v>
      </c>
    </row>
  </sheetData>
  <mergeCells count="2">
    <mergeCell ref="E19:H19"/>
    <mergeCell ref="I19:L19"/>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FC035-60AD-447C-96D4-7383F41C7652}">
  <sheetPr>
    <tabColor theme="5" tint="0.39997558519241921"/>
  </sheetPr>
  <dimension ref="A1:AC58"/>
  <sheetViews>
    <sheetView topLeftCell="J1" zoomScale="120" zoomScaleNormal="120" workbookViewId="0">
      <pane ySplit="1" topLeftCell="A20" activePane="bottomLeft" state="frozen"/>
      <selection activeCell="E54" sqref="E54:H54"/>
      <selection pane="bottomLeft" activeCell="P36" sqref="P36"/>
    </sheetView>
  </sheetViews>
  <sheetFormatPr baseColWidth="10" defaultColWidth="8.83203125" defaultRowHeight="15" x14ac:dyDescent="0.2"/>
  <cols>
    <col min="1" max="4" width="8.83203125" style="968"/>
    <col min="5" max="5" width="9.6640625" style="968" customWidth="1"/>
    <col min="6" max="6" width="7.83203125" style="968" bestFit="1" customWidth="1"/>
    <col min="7" max="8" width="17.33203125" style="968" bestFit="1" customWidth="1"/>
    <col min="9" max="9" width="9.83203125" style="968" bestFit="1" customWidth="1"/>
    <col min="10" max="10" width="9.5" style="968" customWidth="1"/>
    <col min="11" max="15" width="8.83203125" style="968"/>
    <col min="16" max="16" width="9.5" style="968" customWidth="1"/>
    <col min="17" max="17" width="8.83203125" style="968"/>
    <col min="18" max="19" width="17.33203125" style="968" bestFit="1" customWidth="1"/>
    <col min="20" max="20" width="8.83203125" style="968"/>
    <col min="21" max="21" width="9.6640625" style="968" customWidth="1"/>
    <col min="22" max="24" width="8.83203125" style="968"/>
    <col min="25" max="25" width="12.83203125" style="968" bestFit="1" customWidth="1"/>
    <col min="26" max="26" width="14.1640625" style="968" bestFit="1" customWidth="1"/>
    <col min="27" max="27" width="17.5" style="968" bestFit="1" customWidth="1"/>
    <col min="28" max="28" width="17.33203125" style="968" bestFit="1" customWidth="1"/>
    <col min="29" max="29" width="15.1640625" style="968" bestFit="1" customWidth="1"/>
    <col min="30" max="16384" width="8.83203125" style="968"/>
  </cols>
  <sheetData>
    <row r="1" spans="1:21" ht="30.5" customHeight="1" x14ac:dyDescent="0.2">
      <c r="A1" s="1006" t="s">
        <v>1315</v>
      </c>
      <c r="B1" s="1006" t="s">
        <v>1316</v>
      </c>
      <c r="C1" s="1006" t="s">
        <v>1317</v>
      </c>
      <c r="D1" s="1006" t="s">
        <v>1614</v>
      </c>
      <c r="E1" s="1010" t="s">
        <v>1615</v>
      </c>
      <c r="F1" s="1010" t="s">
        <v>1616</v>
      </c>
      <c r="G1" s="1010" t="s">
        <v>1301</v>
      </c>
      <c r="H1" s="1010" t="s">
        <v>1597</v>
      </c>
      <c r="I1" s="1010" t="s">
        <v>1617</v>
      </c>
      <c r="J1" s="1010" t="s">
        <v>1596</v>
      </c>
      <c r="L1" s="1006" t="s">
        <v>1315</v>
      </c>
      <c r="M1" s="1006" t="s">
        <v>1316</v>
      </c>
      <c r="N1" s="1006" t="s">
        <v>1317</v>
      </c>
      <c r="O1" s="1006" t="s">
        <v>1614</v>
      </c>
      <c r="P1" s="1010" t="s">
        <v>1615</v>
      </c>
      <c r="Q1" s="1010" t="s">
        <v>1616</v>
      </c>
      <c r="R1" s="1010" t="s">
        <v>1301</v>
      </c>
      <c r="S1" s="1010" t="s">
        <v>1597</v>
      </c>
      <c r="T1" s="1010" t="s">
        <v>1617</v>
      </c>
      <c r="U1" s="1010" t="s">
        <v>1596</v>
      </c>
    </row>
    <row r="2" spans="1:21" x14ac:dyDescent="0.2">
      <c r="A2" s="1014" t="s">
        <v>1536</v>
      </c>
      <c r="B2" s="1014" t="s">
        <v>1537</v>
      </c>
      <c r="C2" s="1014" t="s">
        <v>6</v>
      </c>
      <c r="D2" s="1014">
        <v>1</v>
      </c>
      <c r="E2" s="1015">
        <v>4.6955794028351301</v>
      </c>
      <c r="F2" s="1015">
        <v>1.34712430125257</v>
      </c>
      <c r="G2" s="1015">
        <v>13.973045142172101</v>
      </c>
      <c r="H2" s="1015">
        <v>1.88618246707528</v>
      </c>
      <c r="I2" s="1015"/>
      <c r="J2" s="1015">
        <v>-0.25100695350352697</v>
      </c>
      <c r="L2" s="1014" t="s">
        <v>1536</v>
      </c>
      <c r="M2" s="1014" t="s">
        <v>1537</v>
      </c>
      <c r="N2" s="1014" t="s">
        <v>6</v>
      </c>
      <c r="O2" s="1014">
        <v>1</v>
      </c>
      <c r="P2" s="1015">
        <v>4.6955794028351301</v>
      </c>
      <c r="Q2" s="1015">
        <v>1.34712430125257</v>
      </c>
      <c r="R2" s="1015">
        <v>13.973045142172101</v>
      </c>
      <c r="S2" s="1015">
        <v>1.88618246707528</v>
      </c>
      <c r="T2" s="1015"/>
      <c r="U2" s="1015">
        <v>-0.25100695350352697</v>
      </c>
    </row>
    <row r="3" spans="1:21" x14ac:dyDescent="0.2">
      <c r="A3" s="1014" t="s">
        <v>1328</v>
      </c>
      <c r="B3" s="1014" t="s">
        <v>1329</v>
      </c>
      <c r="C3" s="1014" t="s">
        <v>1191</v>
      </c>
      <c r="D3" s="1016">
        <v>1</v>
      </c>
      <c r="E3" s="1015"/>
      <c r="F3" s="1015"/>
      <c r="G3" s="1015">
        <v>12.307820798186301</v>
      </c>
      <c r="H3" s="1015">
        <v>1.2937510210496299</v>
      </c>
      <c r="I3" s="1015"/>
      <c r="J3" s="1015">
        <v>-8.8172605220599998E-3</v>
      </c>
      <c r="L3" s="1014" t="s">
        <v>1328</v>
      </c>
      <c r="M3" s="1014" t="s">
        <v>1329</v>
      </c>
      <c r="N3" s="1014" t="s">
        <v>1191</v>
      </c>
      <c r="O3" s="1016">
        <v>1</v>
      </c>
      <c r="P3" s="1015"/>
      <c r="Q3" s="1015"/>
      <c r="R3" s="1015">
        <v>12.307820798186301</v>
      </c>
      <c r="S3" s="1015">
        <v>1.2937510210496299</v>
      </c>
      <c r="T3" s="1015"/>
      <c r="U3" s="1015">
        <v>-8.8172605220599998E-3</v>
      </c>
    </row>
    <row r="4" spans="1:21" x14ac:dyDescent="0.2">
      <c r="A4" s="1014" t="s">
        <v>1510</v>
      </c>
      <c r="B4" s="1014" t="s">
        <v>1511</v>
      </c>
      <c r="C4" s="1014" t="s">
        <v>1307</v>
      </c>
      <c r="D4" s="1014">
        <v>1</v>
      </c>
      <c r="E4" s="1015">
        <v>6.6390338793308699</v>
      </c>
      <c r="F4" s="1015">
        <v>1.0920759090597001</v>
      </c>
      <c r="G4" s="1015">
        <v>36.679781307897002</v>
      </c>
      <c r="H4" s="1015">
        <v>1.1371970597787999</v>
      </c>
      <c r="I4" s="1015"/>
      <c r="J4" s="1015">
        <v>-1.3372711734879801</v>
      </c>
      <c r="L4" s="1014" t="s">
        <v>1510</v>
      </c>
      <c r="M4" s="1014" t="s">
        <v>1511</v>
      </c>
      <c r="N4" s="1014" t="s">
        <v>1307</v>
      </c>
      <c r="O4" s="1014">
        <v>1</v>
      </c>
      <c r="P4" s="1015">
        <v>6.6390338793308699</v>
      </c>
      <c r="Q4" s="1015">
        <v>1.0920759090597001</v>
      </c>
      <c r="R4" s="1015">
        <v>36.679781307897002</v>
      </c>
      <c r="S4" s="1015">
        <v>1.1371970597787999</v>
      </c>
      <c r="T4" s="1015"/>
      <c r="U4" s="1015">
        <v>-1.3372711734879801</v>
      </c>
    </row>
    <row r="5" spans="1:21" x14ac:dyDescent="0.2">
      <c r="A5" s="1014" t="s">
        <v>1530</v>
      </c>
      <c r="B5" s="1014" t="s">
        <v>1531</v>
      </c>
      <c r="C5" s="1014" t="s">
        <v>1307</v>
      </c>
      <c r="D5" s="1014">
        <v>1</v>
      </c>
      <c r="E5" s="1015">
        <v>0.40465996806586002</v>
      </c>
      <c r="F5" s="1015">
        <v>9.5859530255861997E-2</v>
      </c>
      <c r="G5" s="1015">
        <v>6.36459532850425</v>
      </c>
      <c r="H5" s="1015">
        <v>1.23181057089421</v>
      </c>
      <c r="I5" s="1015"/>
      <c r="J5" s="1015">
        <v>4.6594997586019602</v>
      </c>
      <c r="L5" s="1014" t="s">
        <v>1530</v>
      </c>
      <c r="M5" s="1014" t="s">
        <v>1531</v>
      </c>
      <c r="N5" s="1014" t="s">
        <v>1307</v>
      </c>
      <c r="O5" s="1014">
        <v>1</v>
      </c>
      <c r="P5" s="1015">
        <v>0.40465996806586002</v>
      </c>
      <c r="Q5" s="1015">
        <v>9.5859530255861997E-2</v>
      </c>
      <c r="R5" s="1015">
        <v>6.36459532850425</v>
      </c>
      <c r="S5" s="1015">
        <v>1.23181057089421</v>
      </c>
      <c r="T5" s="1015"/>
      <c r="U5" s="1015">
        <v>4.6594997586019602</v>
      </c>
    </row>
    <row r="6" spans="1:21" x14ac:dyDescent="0.2">
      <c r="A6" s="1014" t="s">
        <v>1580</v>
      </c>
      <c r="B6" s="1014" t="s">
        <v>1461</v>
      </c>
      <c r="C6" s="1014" t="s">
        <v>1314</v>
      </c>
      <c r="D6" s="1014">
        <v>1</v>
      </c>
      <c r="E6" s="1015">
        <v>5.1715816746415797</v>
      </c>
      <c r="F6" s="1015">
        <v>1.27948231050685</v>
      </c>
      <c r="G6" s="1015">
        <v>7.3921288506945597</v>
      </c>
      <c r="H6" s="1015">
        <v>1.78418492228567</v>
      </c>
      <c r="I6" s="1015">
        <v>11.5200388976337</v>
      </c>
      <c r="J6" s="1015">
        <v>2.2927650974914502</v>
      </c>
      <c r="L6" s="1014" t="s">
        <v>1580</v>
      </c>
      <c r="M6" s="1014" t="s">
        <v>1461</v>
      </c>
      <c r="N6" s="1014" t="s">
        <v>1314</v>
      </c>
      <c r="O6" s="1014">
        <v>1</v>
      </c>
      <c r="P6" s="1015">
        <v>5.1715816746415797</v>
      </c>
      <c r="Q6" s="1015">
        <v>1.27948231050685</v>
      </c>
      <c r="R6" s="1015">
        <v>7.3921288506945597</v>
      </c>
      <c r="S6" s="1015">
        <v>1.78418492228567</v>
      </c>
      <c r="T6" s="1015">
        <v>11.5200388976337</v>
      </c>
      <c r="U6" s="1015">
        <v>2.2927650974914502</v>
      </c>
    </row>
    <row r="7" spans="1:21" x14ac:dyDescent="0.2">
      <c r="A7" s="1014" t="s">
        <v>1356</v>
      </c>
      <c r="B7" s="1014" t="s">
        <v>1357</v>
      </c>
      <c r="C7" s="1014" t="s">
        <v>1306</v>
      </c>
      <c r="D7" s="1014">
        <v>1</v>
      </c>
      <c r="E7" s="1015">
        <v>4.3268795283995098</v>
      </c>
      <c r="F7" s="1015">
        <v>0.66378501235006804</v>
      </c>
      <c r="G7" s="1015">
        <v>5.9511302071631702</v>
      </c>
      <c r="H7" s="1015">
        <v>0.77467230564315004</v>
      </c>
      <c r="I7" s="1015">
        <v>29.843828557063901</v>
      </c>
      <c r="J7" s="1015">
        <v>2.0648698718427401</v>
      </c>
      <c r="L7" s="1014" t="s">
        <v>1356</v>
      </c>
      <c r="M7" s="1014" t="s">
        <v>1357</v>
      </c>
      <c r="N7" s="1014" t="s">
        <v>1306</v>
      </c>
      <c r="O7" s="1014">
        <v>1</v>
      </c>
      <c r="P7" s="1015">
        <v>4.3268795283995098</v>
      </c>
      <c r="Q7" s="1015">
        <v>0.66378501235006804</v>
      </c>
      <c r="R7" s="1015">
        <v>5.9511302071631702</v>
      </c>
      <c r="S7" s="1015">
        <v>0.77467230564315004</v>
      </c>
      <c r="T7" s="1015">
        <v>29.843828557063901</v>
      </c>
      <c r="U7" s="1015">
        <v>2.0648698718427401</v>
      </c>
    </row>
    <row r="8" spans="1:21" x14ac:dyDescent="0.2">
      <c r="A8" s="1014" t="s">
        <v>1435</v>
      </c>
      <c r="B8" s="1014" t="s">
        <v>1436</v>
      </c>
      <c r="C8" s="1014" t="s">
        <v>1306</v>
      </c>
      <c r="D8" s="1014">
        <v>1</v>
      </c>
      <c r="E8" s="1015">
        <v>4.2551766529606798</v>
      </c>
      <c r="F8" s="1015">
        <v>0.432512981434726</v>
      </c>
      <c r="G8" s="1015">
        <v>23.247861004835201</v>
      </c>
      <c r="H8" s="1015">
        <v>0.493308931197389</v>
      </c>
      <c r="I8" s="1015"/>
      <c r="J8" s="1015">
        <v>0.73170230966462901</v>
      </c>
      <c r="L8" s="1014" t="s">
        <v>1435</v>
      </c>
      <c r="M8" s="1014" t="s">
        <v>1436</v>
      </c>
      <c r="N8" s="1014" t="s">
        <v>1306</v>
      </c>
      <c r="O8" s="1014">
        <v>1</v>
      </c>
      <c r="P8" s="1015">
        <v>4.2551766529606798</v>
      </c>
      <c r="Q8" s="1015">
        <v>0.432512981434726</v>
      </c>
      <c r="R8" s="1015">
        <v>23.247861004835201</v>
      </c>
      <c r="S8" s="1015">
        <v>0.493308931197389</v>
      </c>
      <c r="T8" s="1015"/>
      <c r="U8" s="1015">
        <v>0.73170230966462901</v>
      </c>
    </row>
    <row r="9" spans="1:21" x14ac:dyDescent="0.2">
      <c r="A9" s="1014" t="s">
        <v>1468</v>
      </c>
      <c r="B9" s="1014" t="s">
        <v>1469</v>
      </c>
      <c r="C9" s="1014" t="s">
        <v>1306</v>
      </c>
      <c r="D9" s="1014">
        <v>1</v>
      </c>
      <c r="E9" s="1015">
        <v>5.8420993462695003</v>
      </c>
      <c r="F9" s="1015">
        <v>0.98857411608780799</v>
      </c>
      <c r="G9" s="1015">
        <v>8.9626995737837394</v>
      </c>
      <c r="H9" s="1015">
        <v>1.12624400205746</v>
      </c>
      <c r="I9" s="1015"/>
      <c r="J9" s="1015">
        <v>1.2320650510987901</v>
      </c>
      <c r="L9" s="1014" t="s">
        <v>1468</v>
      </c>
      <c r="M9" s="1014" t="s">
        <v>1469</v>
      </c>
      <c r="N9" s="1014" t="s">
        <v>1306</v>
      </c>
      <c r="O9" s="1014">
        <v>1</v>
      </c>
      <c r="P9" s="1015">
        <v>5.8420993462695003</v>
      </c>
      <c r="Q9" s="1015">
        <v>0.98857411608780799</v>
      </c>
      <c r="R9" s="1015">
        <v>8.9626995737837394</v>
      </c>
      <c r="S9" s="1015">
        <v>1.12624400205746</v>
      </c>
      <c r="T9" s="1015"/>
      <c r="U9" s="1015">
        <v>1.2320650510987901</v>
      </c>
    </row>
    <row r="10" spans="1:21" x14ac:dyDescent="0.2">
      <c r="A10" s="1014" t="s">
        <v>1480</v>
      </c>
      <c r="B10" s="1014" t="s">
        <v>1481</v>
      </c>
      <c r="C10" s="1014" t="s">
        <v>1306</v>
      </c>
      <c r="D10" s="1014">
        <v>1</v>
      </c>
      <c r="E10" s="1015">
        <v>5.3708711964945399</v>
      </c>
      <c r="F10" s="1015">
        <v>0.73095976523928796</v>
      </c>
      <c r="G10" s="1015">
        <v>8.1795073266785394</v>
      </c>
      <c r="H10" s="1015">
        <v>0.78817484847673602</v>
      </c>
      <c r="I10" s="1015">
        <v>300.06156010904903</v>
      </c>
      <c r="J10" s="1015">
        <v>4.76630650176961</v>
      </c>
      <c r="L10" s="1014" t="s">
        <v>1480</v>
      </c>
      <c r="M10" s="1014" t="s">
        <v>1481</v>
      </c>
      <c r="N10" s="1014" t="s">
        <v>1306</v>
      </c>
      <c r="O10" s="1014">
        <v>1</v>
      </c>
      <c r="P10" s="1015">
        <v>5.3708711964945399</v>
      </c>
      <c r="Q10" s="1015">
        <v>0.73095976523928796</v>
      </c>
      <c r="R10" s="1015">
        <v>8.1795073266785394</v>
      </c>
      <c r="S10" s="1015">
        <v>0.78817484847673602</v>
      </c>
      <c r="T10" s="1015">
        <v>300.06156010904903</v>
      </c>
      <c r="U10" s="1015">
        <v>4.76630650176961</v>
      </c>
    </row>
    <row r="11" spans="1:21" x14ac:dyDescent="0.2">
      <c r="A11" s="1014" t="s">
        <v>1532</v>
      </c>
      <c r="B11" s="1014" t="s">
        <v>1533</v>
      </c>
      <c r="C11" s="1014" t="s">
        <v>1306</v>
      </c>
      <c r="D11" s="1014">
        <v>1</v>
      </c>
      <c r="E11" s="1015">
        <v>7.6998051879305001</v>
      </c>
      <c r="F11" s="1015">
        <v>0.69136831660623499</v>
      </c>
      <c r="G11" s="1015">
        <v>16.4585002350472</v>
      </c>
      <c r="H11" s="1015">
        <v>0.77104851797898699</v>
      </c>
      <c r="I11" s="1015"/>
      <c r="J11" s="1015">
        <v>-1.16008743097939</v>
      </c>
      <c r="L11" s="1014" t="s">
        <v>1532</v>
      </c>
      <c r="M11" s="1014" t="s">
        <v>1533</v>
      </c>
      <c r="N11" s="1014" t="s">
        <v>1306</v>
      </c>
      <c r="O11" s="1014">
        <v>1</v>
      </c>
      <c r="P11" s="1015">
        <v>7.6998051879305001</v>
      </c>
      <c r="Q11" s="1015">
        <v>0.69136831660623499</v>
      </c>
      <c r="R11" s="1015">
        <v>16.4585002350472</v>
      </c>
      <c r="S11" s="1015">
        <v>0.77104851797898699</v>
      </c>
      <c r="T11" s="1015"/>
      <c r="U11" s="1015">
        <v>-1.16008743097939</v>
      </c>
    </row>
    <row r="12" spans="1:21" x14ac:dyDescent="0.2">
      <c r="A12" s="1014" t="s">
        <v>1339</v>
      </c>
      <c r="B12" s="1014" t="s">
        <v>1340</v>
      </c>
      <c r="C12" s="1014" t="s">
        <v>1308</v>
      </c>
      <c r="D12" s="1014">
        <v>2</v>
      </c>
      <c r="E12" s="1015">
        <v>2.9899181602657401</v>
      </c>
      <c r="F12" s="1015">
        <v>0.38694849082833199</v>
      </c>
      <c r="G12" s="1015">
        <v>3.0033395585897802</v>
      </c>
      <c r="H12" s="1015">
        <v>0.445105339942025</v>
      </c>
      <c r="I12" s="1015"/>
      <c r="J12" s="1015">
        <v>-0.97361456257775003</v>
      </c>
    </row>
    <row r="13" spans="1:21" x14ac:dyDescent="0.2">
      <c r="A13" s="1014" t="s">
        <v>1333</v>
      </c>
      <c r="B13" s="1014" t="s">
        <v>1334</v>
      </c>
      <c r="C13" s="1014" t="s">
        <v>1310</v>
      </c>
      <c r="D13" s="1014">
        <v>2</v>
      </c>
      <c r="E13" s="1015">
        <v>6.3126832867012403</v>
      </c>
      <c r="F13" s="1015">
        <v>1.35650203624299</v>
      </c>
      <c r="G13" s="1015">
        <v>9.9490330183696294</v>
      </c>
      <c r="H13" s="1015">
        <v>2.37475365621551</v>
      </c>
      <c r="I13" s="1015"/>
      <c r="J13" s="1015">
        <v>0.71203596759245802</v>
      </c>
    </row>
    <row r="14" spans="1:21" x14ac:dyDescent="0.2">
      <c r="A14" s="1014" t="s">
        <v>1411</v>
      </c>
      <c r="B14" s="1014" t="s">
        <v>1412</v>
      </c>
      <c r="C14" s="1014" t="s">
        <v>1413</v>
      </c>
      <c r="D14" s="1014">
        <v>2</v>
      </c>
      <c r="E14" s="1015">
        <v>6.5483083252687102</v>
      </c>
      <c r="F14" s="1015">
        <v>1.29709682454148</v>
      </c>
      <c r="G14" s="1015">
        <v>15.570743523296199</v>
      </c>
      <c r="H14" s="1015">
        <v>2.1168717996944202</v>
      </c>
      <c r="I14" s="1015">
        <v>66.694521334935004</v>
      </c>
      <c r="J14" s="1015">
        <v>2.33464756782289</v>
      </c>
      <c r="R14" s="973"/>
    </row>
    <row r="15" spans="1:21" x14ac:dyDescent="0.2">
      <c r="A15" s="1014" t="s">
        <v>1335</v>
      </c>
      <c r="B15" s="1014" t="s">
        <v>1336</v>
      </c>
      <c r="C15" s="1014" t="s">
        <v>1306</v>
      </c>
      <c r="D15" s="1014">
        <v>2</v>
      </c>
      <c r="E15" s="1015">
        <v>3.3875832129662</v>
      </c>
      <c r="F15" s="1015">
        <v>0.478098032386919</v>
      </c>
      <c r="G15" s="1015">
        <v>5.0667558664718202</v>
      </c>
      <c r="H15" s="1015">
        <v>0.53540173395985102</v>
      </c>
      <c r="I15" s="1015">
        <v>154.61684267533201</v>
      </c>
      <c r="J15" s="1015">
        <v>1.5143182665983601</v>
      </c>
    </row>
    <row r="16" spans="1:21" x14ac:dyDescent="0.2">
      <c r="A16" s="1014" t="s">
        <v>1354</v>
      </c>
      <c r="B16" s="1014" t="s">
        <v>1355</v>
      </c>
      <c r="C16" s="1014" t="s">
        <v>1306</v>
      </c>
      <c r="D16" s="1014">
        <v>2</v>
      </c>
      <c r="E16" s="1015">
        <v>4.6626648897493999</v>
      </c>
      <c r="F16" s="1015">
        <v>1.0613063143928501</v>
      </c>
      <c r="G16" s="1015">
        <v>5.0071006723743103</v>
      </c>
      <c r="H16" s="1015">
        <v>1.0620467439435</v>
      </c>
      <c r="I16" s="1015">
        <v>7.1260550712605504</v>
      </c>
      <c r="J16" s="1015">
        <v>0.36977259998978701</v>
      </c>
    </row>
    <row r="17" spans="1:29" x14ac:dyDescent="0.2">
      <c r="A17" s="1014" t="s">
        <v>1406</v>
      </c>
      <c r="B17" s="1014" t="s">
        <v>1407</v>
      </c>
      <c r="C17" s="1014" t="s">
        <v>1306</v>
      </c>
      <c r="D17" s="1014">
        <v>2</v>
      </c>
      <c r="E17" s="1015"/>
      <c r="F17" s="1015"/>
      <c r="G17" s="1015">
        <v>0.47230313541054297</v>
      </c>
      <c r="H17" s="1015">
        <v>0.14967373538036899</v>
      </c>
      <c r="I17" s="1015">
        <v>2.4731109796428998</v>
      </c>
      <c r="J17" s="1015">
        <v>0.50620962447022499</v>
      </c>
    </row>
    <row r="18" spans="1:29" x14ac:dyDescent="0.2">
      <c r="A18" s="1014"/>
      <c r="B18" s="1014"/>
      <c r="C18" s="1014"/>
      <c r="D18" s="1014"/>
      <c r="E18" s="1015"/>
      <c r="F18" s="1015"/>
      <c r="G18" s="1015"/>
      <c r="H18" s="1015"/>
      <c r="I18" s="1015"/>
      <c r="J18" s="1015"/>
    </row>
    <row r="19" spans="1:29" x14ac:dyDescent="0.2">
      <c r="A19" s="1014"/>
      <c r="B19" s="1014"/>
      <c r="C19" s="1014"/>
      <c r="D19" s="1014"/>
      <c r="E19" s="1015"/>
      <c r="F19" s="1015"/>
      <c r="G19" s="1015"/>
      <c r="H19" s="1015"/>
      <c r="I19" s="1015"/>
      <c r="J19" s="1015"/>
    </row>
    <row r="20" spans="1:29" x14ac:dyDescent="0.2">
      <c r="D20" s="968" t="s">
        <v>1618</v>
      </c>
      <c r="E20" s="1017">
        <f t="shared" ref="E20:J20" si="0">MIN(E2:E17)</f>
        <v>0.40465996806586002</v>
      </c>
      <c r="F20" s="1017">
        <f t="shared" si="0"/>
        <v>9.5859530255861997E-2</v>
      </c>
      <c r="G20" s="1017">
        <f t="shared" si="0"/>
        <v>0.47230313541054297</v>
      </c>
      <c r="H20" s="1017">
        <f t="shared" si="0"/>
        <v>0.14967373538036899</v>
      </c>
      <c r="I20" s="1017">
        <f t="shared" si="0"/>
        <v>2.4731109796428998</v>
      </c>
      <c r="J20" s="1017">
        <f t="shared" si="0"/>
        <v>-1.3372711734879801</v>
      </c>
      <c r="O20" s="968" t="s">
        <v>1618</v>
      </c>
      <c r="P20" s="1017">
        <f>MIN(P2:P11)</f>
        <v>0.40465996806586002</v>
      </c>
      <c r="Q20" s="1017">
        <f>MIN(Q2:Q11)</f>
        <v>9.5859530255861997E-2</v>
      </c>
      <c r="R20" s="1017">
        <f>MIN(R2:R11)</f>
        <v>5.9511302071631702</v>
      </c>
      <c r="S20" s="1017">
        <f t="shared" ref="S20:U20" si="1">MIN(S2:S11)</f>
        <v>0.493308931197389</v>
      </c>
      <c r="T20" s="1017">
        <f t="shared" si="1"/>
        <v>11.5200388976337</v>
      </c>
      <c r="U20" s="1017">
        <f t="shared" si="1"/>
        <v>-1.3372711734879801</v>
      </c>
      <c r="X20" s="970" t="s">
        <v>44</v>
      </c>
      <c r="Y20" s="968" t="s">
        <v>1619</v>
      </c>
      <c r="Z20" s="968" t="s">
        <v>1620</v>
      </c>
      <c r="AA20" s="1018" t="s">
        <v>1621</v>
      </c>
      <c r="AB20" s="968" t="s">
        <v>1622</v>
      </c>
      <c r="AC20" s="968" t="s">
        <v>1623</v>
      </c>
    </row>
    <row r="21" spans="1:29" ht="16" x14ac:dyDescent="0.2">
      <c r="D21" s="968" t="s">
        <v>1624</v>
      </c>
      <c r="E21" s="974">
        <f t="shared" ref="E21:J21" si="2">_xlfn.QUARTILE.EXC(E2:E17,1)</f>
        <v>4.03827829296206</v>
      </c>
      <c r="F21" s="974">
        <f t="shared" si="2"/>
        <v>0.46670176964887078</v>
      </c>
      <c r="G21" s="974">
        <f t="shared" si="2"/>
        <v>5.2878494516446573</v>
      </c>
      <c r="H21" s="974">
        <f t="shared" si="2"/>
        <v>0.59431342996463499</v>
      </c>
      <c r="I21" s="974">
        <f t="shared" si="2"/>
        <v>7.1260550712605504</v>
      </c>
      <c r="J21" s="974">
        <f t="shared" si="2"/>
        <v>-0.19045953025816023</v>
      </c>
      <c r="O21" s="968" t="s">
        <v>1624</v>
      </c>
      <c r="P21" s="1019">
        <f>_xlfn.QUARTILE.EXC(P2:P11,1)</f>
        <v>4.2910280906800953</v>
      </c>
      <c r="Q21" s="1019">
        <f>_xlfn.QUARTILE.EXC(Q2:Q11,1)</f>
        <v>0.54814899689239704</v>
      </c>
      <c r="R21" s="1019">
        <f>_xlfn.QUARTILE.EXC(R2:R11,1)</f>
        <v>7.1352454701469821</v>
      </c>
      <c r="S21" s="1019">
        <f t="shared" ref="S21:U21" si="3">_xlfn.QUARTILE.EXC(S2:S17,1)</f>
        <v>0.7737663587271093</v>
      </c>
      <c r="T21" s="1019">
        <f t="shared" si="3"/>
        <v>11.5200388976337</v>
      </c>
      <c r="U21" s="1019">
        <f t="shared" si="3"/>
        <v>-0.47827707287249277</v>
      </c>
      <c r="Y21" s="1007">
        <v>903046000</v>
      </c>
      <c r="Z21" s="1007">
        <v>8590933000</v>
      </c>
      <c r="AA21" s="1007">
        <f>5.9*589994732307*0.0011</f>
        <v>3829065812.6724305</v>
      </c>
      <c r="AB21" s="1020">
        <v>589994732307</v>
      </c>
      <c r="AC21" s="1021">
        <v>6645000000</v>
      </c>
    </row>
    <row r="22" spans="1:29" x14ac:dyDescent="0.2">
      <c r="D22" s="968" t="s">
        <v>1313</v>
      </c>
      <c r="E22" s="975">
        <f t="shared" ref="E22:J22" si="4">MEDIAN(E2:E17)</f>
        <v>4.9335805387383544</v>
      </c>
      <c r="F22" s="975">
        <f t="shared" si="4"/>
        <v>0.85976694066354797</v>
      </c>
      <c r="G22" s="975">
        <f t="shared" si="4"/>
        <v>8.5711034502311385</v>
      </c>
      <c r="H22" s="975">
        <f t="shared" si="4"/>
        <v>1.09414537300048</v>
      </c>
      <c r="I22" s="975">
        <f t="shared" si="4"/>
        <v>29.843828557063901</v>
      </c>
      <c r="J22" s="975">
        <f t="shared" si="4"/>
        <v>0.72186913862854352</v>
      </c>
      <c r="O22" s="968" t="s">
        <v>1313</v>
      </c>
      <c r="P22" s="973">
        <f>MEDIAN(P2:P11)</f>
        <v>5.1715816746415797</v>
      </c>
      <c r="Q22" s="973">
        <f>MEDIAN(Q2:Q11)</f>
        <v>0.73095976523928796</v>
      </c>
      <c r="R22" s="973">
        <f>MEDIAN(R2:R11)</f>
        <v>10.63526018598502</v>
      </c>
      <c r="S22" s="973">
        <f t="shared" ref="S22:U22" si="5">MEDIAN(S2:S17)</f>
        <v>1.13172053091813</v>
      </c>
      <c r="T22" s="973">
        <f t="shared" si="5"/>
        <v>29.843828557063901</v>
      </c>
      <c r="U22" s="973">
        <f t="shared" si="5"/>
        <v>0.98188368038170948</v>
      </c>
    </row>
    <row r="23" spans="1:29" x14ac:dyDescent="0.2">
      <c r="D23" s="968" t="s">
        <v>143</v>
      </c>
      <c r="E23" s="973">
        <f>AVERAGE(E2:E17)</f>
        <v>4.8790603365628176</v>
      </c>
      <c r="F23" s="973">
        <f t="shared" ref="F23:J23" si="6">AVERAGE(F2:F17)</f>
        <v>0.85012099579897704</v>
      </c>
      <c r="G23" s="973">
        <f t="shared" si="6"/>
        <v>11.161646596842147</v>
      </c>
      <c r="H23" s="973">
        <f t="shared" si="6"/>
        <v>1.1231517284733117</v>
      </c>
      <c r="I23" s="973">
        <f t="shared" si="6"/>
        <v>81.762279660702447</v>
      </c>
      <c r="J23" s="973">
        <f t="shared" si="6"/>
        <v>1.0908372022420121</v>
      </c>
      <c r="O23" s="968" t="s">
        <v>143</v>
      </c>
      <c r="P23" s="973">
        <f>AVERAGE(P2:P11)</f>
        <v>4.9339652041031297</v>
      </c>
      <c r="Q23" s="973">
        <f>AVERAGE(Q2:Q11)</f>
        <v>0.81352691586590087</v>
      </c>
      <c r="R23" s="973">
        <f>AVERAGE(R2:R11)</f>
        <v>13.951706977496206</v>
      </c>
      <c r="S23" s="973">
        <f t="shared" ref="S23:U23" si="7">AVERAGE(S2:S17)</f>
        <v>1.1286574646437311</v>
      </c>
      <c r="T23" s="973">
        <f t="shared" si="7"/>
        <v>113.8084758545822</v>
      </c>
      <c r="U23" s="973">
        <f t="shared" si="7"/>
        <v>1.2990025771976224</v>
      </c>
      <c r="AA23" s="1022" t="s">
        <v>1625</v>
      </c>
      <c r="AB23" s="1023">
        <f>AA21/AB21</f>
        <v>6.490000000000001E-3</v>
      </c>
    </row>
    <row r="24" spans="1:29" x14ac:dyDescent="0.2">
      <c r="D24" s="968" t="s">
        <v>1626</v>
      </c>
      <c r="E24" s="975">
        <f>_xlfn.QUARTILE.EXC(E2:E17,3)</f>
        <v>6.3715895463431078</v>
      </c>
      <c r="F24" s="975">
        <f t="shared" ref="F24:J24" si="8">_xlfn.QUARTILE.EXC(F2:F17,3)</f>
        <v>1.2838859390155075</v>
      </c>
      <c r="G24" s="975">
        <f t="shared" si="8"/>
        <v>15.171318928015175</v>
      </c>
      <c r="H24" s="975">
        <f t="shared" si="8"/>
        <v>1.6615764469766601</v>
      </c>
      <c r="I24" s="975">
        <f t="shared" si="8"/>
        <v>154.61684267533201</v>
      </c>
      <c r="J24" s="975">
        <f t="shared" si="8"/>
        <v>2.2357912910792725</v>
      </c>
      <c r="O24" s="968" t="s">
        <v>1626</v>
      </c>
      <c r="P24" s="975">
        <f>_xlfn.QUARTILE.EXC(P2:P11,3)</f>
        <v>6.2405666128001851</v>
      </c>
      <c r="Q24" s="975">
        <f>_xlfn.QUARTILE.EXC(Q2:Q11,3)</f>
        <v>1.1857791097832751</v>
      </c>
      <c r="R24" s="975">
        <f>_xlfn.QUARTILE.EXC(R2:R11,3)</f>
        <v>18.155840427494201</v>
      </c>
      <c r="S24" s="975">
        <f t="shared" ref="S24:U24" si="9">_xlfn.QUARTILE.EXC(S2:S17,3)</f>
        <v>1.4163594963586399</v>
      </c>
      <c r="T24" s="975">
        <f t="shared" si="9"/>
        <v>300.06156010904903</v>
      </c>
      <c r="U24" s="975">
        <f t="shared" si="9"/>
        <v>2.8844487627690776</v>
      </c>
    </row>
    <row r="25" spans="1:29" x14ac:dyDescent="0.2">
      <c r="D25" s="968" t="s">
        <v>1627</v>
      </c>
      <c r="E25" s="973">
        <f>MAX(E2:E17)</f>
        <v>7.6998051879305001</v>
      </c>
      <c r="F25" s="973">
        <f t="shared" ref="F25:J25" si="10">MAX(F2:F17)</f>
        <v>1.35650203624299</v>
      </c>
      <c r="G25" s="973">
        <f t="shared" si="10"/>
        <v>36.679781307897002</v>
      </c>
      <c r="H25" s="973">
        <f t="shared" si="10"/>
        <v>2.37475365621551</v>
      </c>
      <c r="I25" s="973">
        <f t="shared" si="10"/>
        <v>300.06156010904903</v>
      </c>
      <c r="J25" s="973">
        <f t="shared" si="10"/>
        <v>4.76630650176961</v>
      </c>
      <c r="O25" s="968" t="s">
        <v>1627</v>
      </c>
      <c r="P25" s="973">
        <f>MAX(P2:P11)</f>
        <v>7.6998051879305001</v>
      </c>
      <c r="Q25" s="973">
        <f>MAX(Q2:Q11)</f>
        <v>1.34712430125257</v>
      </c>
      <c r="R25" s="973">
        <f>MAX(R2:R11)</f>
        <v>36.679781307897002</v>
      </c>
      <c r="S25" s="973">
        <f t="shared" ref="S25:U25" si="11">MAX(S2:S17)</f>
        <v>1.88618246707528</v>
      </c>
      <c r="T25" s="973">
        <f t="shared" si="11"/>
        <v>300.06156010904903</v>
      </c>
      <c r="U25" s="973">
        <f t="shared" si="11"/>
        <v>4.76630650176961</v>
      </c>
    </row>
    <row r="27" spans="1:29" ht="16" x14ac:dyDescent="0.2">
      <c r="F27" s="968" t="s">
        <v>1628</v>
      </c>
      <c r="G27" s="1020">
        <f>G22*$Y$21</f>
        <v>7740100686.3174286</v>
      </c>
      <c r="H27" s="1020">
        <f>H22*$Z$21</f>
        <v>9399729591.7071323</v>
      </c>
      <c r="Q27" s="968" t="s">
        <v>1628</v>
      </c>
      <c r="R27" s="1024">
        <f>R22*$Y$21</f>
        <v>9604129169.9130287</v>
      </c>
      <c r="S27" s="1024">
        <f>S22*$Z$21</f>
        <v>9722535255.842083</v>
      </c>
    </row>
    <row r="28" spans="1:29" x14ac:dyDescent="0.2">
      <c r="F28" s="968" t="s">
        <v>1623</v>
      </c>
      <c r="G28" s="1025">
        <f>$AC$21</f>
        <v>6645000000</v>
      </c>
      <c r="H28" s="1025">
        <f>$G$28</f>
        <v>6645000000</v>
      </c>
      <c r="Q28" s="968" t="s">
        <v>1623</v>
      </c>
      <c r="R28" s="1025">
        <f>$AC$21</f>
        <v>6645000000</v>
      </c>
      <c r="S28" s="1025">
        <f>$AC$21</f>
        <v>6645000000</v>
      </c>
    </row>
    <row r="29" spans="1:29" x14ac:dyDescent="0.2">
      <c r="F29" s="968" t="s">
        <v>1629</v>
      </c>
      <c r="G29" s="1025">
        <f>G27-G28</f>
        <v>1095100686.3174286</v>
      </c>
      <c r="H29" s="1025">
        <f>H27-H28</f>
        <v>2754729591.7071323</v>
      </c>
      <c r="Q29" s="968" t="s">
        <v>1629</v>
      </c>
      <c r="R29" s="1025">
        <f>R27-R28</f>
        <v>2959129169.9130287</v>
      </c>
      <c r="S29" s="1025">
        <f>S27-S28</f>
        <v>3077535255.842083</v>
      </c>
    </row>
    <row r="30" spans="1:29" x14ac:dyDescent="0.2">
      <c r="F30" s="968" t="s">
        <v>1622</v>
      </c>
      <c r="G30" s="1025">
        <f>$AB$21</f>
        <v>589994732307</v>
      </c>
      <c r="H30" s="1025">
        <f>$G$30</f>
        <v>589994732307</v>
      </c>
      <c r="Q30" s="968" t="s">
        <v>1622</v>
      </c>
      <c r="R30" s="1025">
        <f>$AB$21</f>
        <v>589994732307</v>
      </c>
      <c r="S30" s="1025">
        <f>$AB$21</f>
        <v>589994732307</v>
      </c>
    </row>
    <row r="31" spans="1:29" x14ac:dyDescent="0.2">
      <c r="F31" s="968" t="s">
        <v>1630</v>
      </c>
      <c r="G31" s="1026">
        <f>G29/G30</f>
        <v>1.8561194301436575E-3</v>
      </c>
      <c r="H31" s="1026">
        <f>H29/H30</f>
        <v>4.6690748931529887E-3</v>
      </c>
      <c r="Q31" s="968" t="s">
        <v>1630</v>
      </c>
      <c r="R31" s="1026">
        <f>R29/R30</f>
        <v>5.0155179493590199E-3</v>
      </c>
      <c r="S31" s="1026">
        <f>S29/S30</f>
        <v>5.2162080224145242E-3</v>
      </c>
    </row>
    <row r="36" spans="1:10" ht="43" customHeight="1" x14ac:dyDescent="0.2">
      <c r="A36" s="1006" t="s">
        <v>1315</v>
      </c>
      <c r="B36" s="1006" t="s">
        <v>1316</v>
      </c>
      <c r="C36" s="1006" t="s">
        <v>1317</v>
      </c>
      <c r="D36" s="1006" t="s">
        <v>1614</v>
      </c>
      <c r="E36" s="1010" t="s">
        <v>1615</v>
      </c>
      <c r="F36" s="1010" t="s">
        <v>1616</v>
      </c>
      <c r="G36" s="1010" t="s">
        <v>1301</v>
      </c>
      <c r="H36" s="1010" t="s">
        <v>1597</v>
      </c>
      <c r="I36" s="1010" t="s">
        <v>1617</v>
      </c>
      <c r="J36" s="1010" t="s">
        <v>1596</v>
      </c>
    </row>
    <row r="37" spans="1:10" x14ac:dyDescent="0.2">
      <c r="A37" s="1014" t="s">
        <v>1536</v>
      </c>
      <c r="B37" s="1014" t="s">
        <v>1537</v>
      </c>
      <c r="C37" s="1014" t="s">
        <v>6</v>
      </c>
      <c r="D37" s="1014">
        <v>1</v>
      </c>
      <c r="E37" s="1015">
        <v>4.6955794028351301</v>
      </c>
      <c r="F37" s="1015">
        <v>1.34712430125257</v>
      </c>
      <c r="G37" s="1015">
        <v>13.973045142172101</v>
      </c>
      <c r="H37" s="1015">
        <v>1.88618246707528</v>
      </c>
      <c r="I37" s="1015"/>
      <c r="J37" s="1015">
        <v>-0.25100695350352697</v>
      </c>
    </row>
    <row r="38" spans="1:10" x14ac:dyDescent="0.2">
      <c r="A38" s="1014" t="s">
        <v>1328</v>
      </c>
      <c r="B38" s="1014" t="s">
        <v>1329</v>
      </c>
      <c r="C38" s="1014" t="s">
        <v>1191</v>
      </c>
      <c r="D38" s="1016">
        <v>1</v>
      </c>
      <c r="E38" s="1015"/>
      <c r="F38" s="1015"/>
      <c r="G38" s="1015">
        <v>12.307820798186301</v>
      </c>
      <c r="H38" s="1015">
        <v>1.2937510210496299</v>
      </c>
      <c r="I38" s="1015"/>
      <c r="J38" s="1015">
        <v>-8.8172605220599998E-3</v>
      </c>
    </row>
    <row r="39" spans="1:10" x14ac:dyDescent="0.2">
      <c r="A39" s="1014" t="s">
        <v>1510</v>
      </c>
      <c r="B39" s="1014" t="s">
        <v>1511</v>
      </c>
      <c r="C39" s="1014" t="s">
        <v>1307</v>
      </c>
      <c r="D39" s="1014">
        <v>1</v>
      </c>
      <c r="E39" s="1015">
        <v>6.6390338793308699</v>
      </c>
      <c r="F39" s="1015">
        <v>1.0920759090597001</v>
      </c>
      <c r="G39" s="1015">
        <v>36.679781307897002</v>
      </c>
      <c r="H39" s="1015">
        <v>1.1371970597787999</v>
      </c>
      <c r="I39" s="1015"/>
      <c r="J39" s="1015">
        <v>-1.3372711734879801</v>
      </c>
    </row>
    <row r="40" spans="1:10" x14ac:dyDescent="0.2">
      <c r="A40" s="1014" t="s">
        <v>1530</v>
      </c>
      <c r="B40" s="1014" t="s">
        <v>1531</v>
      </c>
      <c r="C40" s="1014" t="s">
        <v>1307</v>
      </c>
      <c r="D40" s="1014">
        <v>1</v>
      </c>
      <c r="E40" s="1015">
        <v>0.40465996806586002</v>
      </c>
      <c r="F40" s="1015">
        <v>9.5859530255861997E-2</v>
      </c>
      <c r="G40" s="1015">
        <v>6.36459532850425</v>
      </c>
      <c r="H40" s="1015">
        <v>1.23181057089421</v>
      </c>
      <c r="I40" s="1015"/>
      <c r="J40" s="1015">
        <v>4.6594997586019602</v>
      </c>
    </row>
    <row r="41" spans="1:10" x14ac:dyDescent="0.2">
      <c r="A41" s="1014" t="s">
        <v>1580</v>
      </c>
      <c r="B41" s="1014" t="s">
        <v>1461</v>
      </c>
      <c r="C41" s="1014" t="s">
        <v>1314</v>
      </c>
      <c r="D41" s="1014">
        <v>1</v>
      </c>
      <c r="E41" s="1015">
        <v>5.1715816746415797</v>
      </c>
      <c r="F41" s="1015">
        <v>1.27948231050685</v>
      </c>
      <c r="G41" s="1015">
        <v>7.3921288506945597</v>
      </c>
      <c r="H41" s="1015">
        <v>1.78418492228567</v>
      </c>
      <c r="I41" s="1015">
        <v>11.5200388976337</v>
      </c>
      <c r="J41" s="1015">
        <v>2.2927650974914502</v>
      </c>
    </row>
    <row r="42" spans="1:10" x14ac:dyDescent="0.2">
      <c r="A42" s="1014" t="s">
        <v>1356</v>
      </c>
      <c r="B42" s="1014" t="s">
        <v>1357</v>
      </c>
      <c r="C42" s="1014" t="s">
        <v>1306</v>
      </c>
      <c r="D42" s="1014">
        <v>2</v>
      </c>
      <c r="E42" s="1015">
        <v>4.3268795283995098</v>
      </c>
      <c r="F42" s="1015">
        <v>0.66378501235006804</v>
      </c>
      <c r="G42" s="1015">
        <v>5.9511302071631702</v>
      </c>
      <c r="H42" s="1015">
        <v>0.77467230564315004</v>
      </c>
      <c r="I42" s="1015">
        <v>29.843828557063901</v>
      </c>
      <c r="J42" s="1015">
        <v>2.0648698718427401</v>
      </c>
    </row>
    <row r="43" spans="1:10" x14ac:dyDescent="0.2">
      <c r="A43" s="1014" t="s">
        <v>1435</v>
      </c>
      <c r="B43" s="1014" t="s">
        <v>1436</v>
      </c>
      <c r="C43" s="1014" t="s">
        <v>1306</v>
      </c>
      <c r="D43" s="1014">
        <v>2</v>
      </c>
      <c r="E43" s="1015">
        <v>4.2551766529606798</v>
      </c>
      <c r="F43" s="1015">
        <v>0.432512981434726</v>
      </c>
      <c r="G43" s="1015">
        <v>23.247861004835201</v>
      </c>
      <c r="H43" s="1015">
        <v>0.493308931197389</v>
      </c>
      <c r="I43" s="1015"/>
      <c r="J43" s="1015">
        <v>0.73170230966462901</v>
      </c>
    </row>
    <row r="44" spans="1:10" x14ac:dyDescent="0.2">
      <c r="A44" s="1014" t="s">
        <v>1468</v>
      </c>
      <c r="B44" s="1014" t="s">
        <v>1469</v>
      </c>
      <c r="C44" s="1014" t="s">
        <v>1306</v>
      </c>
      <c r="D44" s="1014">
        <v>2</v>
      </c>
      <c r="E44" s="1015">
        <v>5.8420993462695003</v>
      </c>
      <c r="F44" s="1015">
        <v>0.98857411608780799</v>
      </c>
      <c r="G44" s="1015">
        <v>8.9626995737837394</v>
      </c>
      <c r="H44" s="1015">
        <v>1.12624400205746</v>
      </c>
      <c r="I44" s="1015"/>
      <c r="J44" s="1015">
        <v>1.2320650510987901</v>
      </c>
    </row>
    <row r="45" spans="1:10" x14ac:dyDescent="0.2">
      <c r="A45" s="1014" t="s">
        <v>1480</v>
      </c>
      <c r="B45" s="1014" t="s">
        <v>1481</v>
      </c>
      <c r="C45" s="1014" t="s">
        <v>1306</v>
      </c>
      <c r="D45" s="1014">
        <v>2</v>
      </c>
      <c r="E45" s="1015">
        <v>5.3708711964945399</v>
      </c>
      <c r="F45" s="1015">
        <v>0.73095976523928796</v>
      </c>
      <c r="G45" s="1015">
        <v>8.1795073266785394</v>
      </c>
      <c r="H45" s="1015">
        <v>0.78817484847673602</v>
      </c>
      <c r="I45" s="1015">
        <v>300.06156010904903</v>
      </c>
      <c r="J45" s="1015">
        <v>4.76630650176961</v>
      </c>
    </row>
    <row r="46" spans="1:10" x14ac:dyDescent="0.2">
      <c r="A46" s="1014" t="s">
        <v>1532</v>
      </c>
      <c r="B46" s="1014" t="s">
        <v>1533</v>
      </c>
      <c r="C46" s="1014" t="s">
        <v>1306</v>
      </c>
      <c r="D46" s="1014">
        <v>2</v>
      </c>
      <c r="E46" s="1015">
        <v>7.6998051879305001</v>
      </c>
      <c r="F46" s="1015">
        <v>0.69136831660623499</v>
      </c>
      <c r="G46" s="1015">
        <v>16.4585002350472</v>
      </c>
      <c r="H46" s="1015">
        <v>0.77104851797898699</v>
      </c>
      <c r="I46" s="1015"/>
      <c r="J46" s="1015">
        <v>-1.16008743097939</v>
      </c>
    </row>
    <row r="47" spans="1:10" x14ac:dyDescent="0.2">
      <c r="A47" s="1014" t="s">
        <v>1339</v>
      </c>
      <c r="B47" s="1014" t="s">
        <v>1340</v>
      </c>
      <c r="C47" s="1014" t="s">
        <v>1308</v>
      </c>
      <c r="D47" s="1014">
        <v>3</v>
      </c>
      <c r="E47" s="1015">
        <v>2.9899181602657401</v>
      </c>
      <c r="F47" s="1015">
        <v>0.38694849082833199</v>
      </c>
      <c r="G47" s="1015">
        <v>3.0033395585897802</v>
      </c>
      <c r="H47" s="1015">
        <v>0.445105339942025</v>
      </c>
      <c r="I47" s="1015"/>
      <c r="J47" s="1015">
        <v>-0.97361456257775003</v>
      </c>
    </row>
    <row r="48" spans="1:10" x14ac:dyDescent="0.2">
      <c r="A48" s="1014" t="s">
        <v>1333</v>
      </c>
      <c r="B48" s="1014" t="s">
        <v>1334</v>
      </c>
      <c r="C48" s="1014" t="s">
        <v>1310</v>
      </c>
      <c r="D48" s="1014">
        <v>3</v>
      </c>
      <c r="E48" s="1015">
        <v>6.3126832867012403</v>
      </c>
      <c r="F48" s="1015">
        <v>1.35650203624299</v>
      </c>
      <c r="G48" s="1015">
        <v>9.9490330183696294</v>
      </c>
      <c r="H48" s="1015">
        <v>2.37475365621551</v>
      </c>
      <c r="I48" s="1015"/>
      <c r="J48" s="1015">
        <v>0.71203596759245802</v>
      </c>
    </row>
    <row r="49" spans="1:20" x14ac:dyDescent="0.2">
      <c r="A49" s="1014" t="s">
        <v>1411</v>
      </c>
      <c r="B49" s="1014" t="s">
        <v>1412</v>
      </c>
      <c r="C49" s="1014" t="s">
        <v>1413</v>
      </c>
      <c r="D49" s="1014">
        <v>3</v>
      </c>
      <c r="E49" s="1015">
        <v>6.5483083252687102</v>
      </c>
      <c r="F49" s="1015">
        <v>1.29709682454148</v>
      </c>
      <c r="G49" s="1015">
        <v>15.570743523296199</v>
      </c>
      <c r="H49" s="1015">
        <v>2.1168717996944202</v>
      </c>
      <c r="I49" s="1015">
        <v>66.694521334935004</v>
      </c>
      <c r="J49" s="1015">
        <v>2.33464756782289</v>
      </c>
    </row>
    <row r="50" spans="1:20" x14ac:dyDescent="0.2">
      <c r="A50" s="1014" t="s">
        <v>1335</v>
      </c>
      <c r="B50" s="1014" t="s">
        <v>1336</v>
      </c>
      <c r="C50" s="1014" t="s">
        <v>1306</v>
      </c>
      <c r="D50" s="1014">
        <v>3</v>
      </c>
      <c r="E50" s="1015">
        <v>3.3875832129662</v>
      </c>
      <c r="F50" s="1015">
        <v>0.478098032386919</v>
      </c>
      <c r="G50" s="1015">
        <v>5.0667558664718202</v>
      </c>
      <c r="H50" s="1015">
        <v>0.53540173395985102</v>
      </c>
      <c r="I50" s="1015">
        <v>154.61684267533201</v>
      </c>
      <c r="J50" s="1015">
        <v>1.5143182665983601</v>
      </c>
    </row>
    <row r="51" spans="1:20" x14ac:dyDescent="0.2">
      <c r="A51" s="1014" t="s">
        <v>1354</v>
      </c>
      <c r="B51" s="1014" t="s">
        <v>1355</v>
      </c>
      <c r="C51" s="1014" t="s">
        <v>1306</v>
      </c>
      <c r="D51" s="1014">
        <v>3</v>
      </c>
      <c r="E51" s="1015">
        <v>4.6626648897493999</v>
      </c>
      <c r="F51" s="1015">
        <v>1.0613063143928501</v>
      </c>
      <c r="G51" s="1015">
        <v>5.0071006723743103</v>
      </c>
      <c r="H51" s="1015">
        <v>1.0620467439435</v>
      </c>
      <c r="I51" s="1015">
        <v>7.1260550712605504</v>
      </c>
      <c r="J51" s="1015">
        <v>0.36977259998978701</v>
      </c>
    </row>
    <row r="52" spans="1:20" x14ac:dyDescent="0.2">
      <c r="A52" s="1014" t="s">
        <v>1406</v>
      </c>
      <c r="B52" s="1014" t="s">
        <v>1407</v>
      </c>
      <c r="C52" s="1014" t="s">
        <v>1306</v>
      </c>
      <c r="D52" s="1014">
        <v>3</v>
      </c>
      <c r="E52" s="1015"/>
      <c r="F52" s="1015"/>
      <c r="G52" s="1015">
        <v>0.47230313541054297</v>
      </c>
      <c r="H52" s="1015">
        <v>0.14967373538036899</v>
      </c>
      <c r="I52" s="1015">
        <v>2.4731109796428998</v>
      </c>
      <c r="J52" s="1015">
        <v>0.50620962447022499</v>
      </c>
    </row>
    <row r="54" spans="1:20" x14ac:dyDescent="0.2">
      <c r="E54" s="1242" t="s">
        <v>143</v>
      </c>
      <c r="F54" s="1242"/>
      <c r="G54" s="1242"/>
      <c r="H54" s="1242"/>
      <c r="I54" s="1242" t="s">
        <v>1609</v>
      </c>
      <c r="J54" s="1242"/>
      <c r="K54" s="1242"/>
      <c r="L54" s="1242"/>
      <c r="O54" s="1242" t="s">
        <v>143</v>
      </c>
      <c r="P54" s="1242"/>
      <c r="Q54" s="1242" t="s">
        <v>1313</v>
      </c>
      <c r="R54" s="1242"/>
    </row>
    <row r="55" spans="1:20" x14ac:dyDescent="0.2">
      <c r="D55" s="970" t="s">
        <v>1631</v>
      </c>
      <c r="E55" s="1012" t="s">
        <v>1595</v>
      </c>
      <c r="F55" s="1012" t="s">
        <v>1596</v>
      </c>
      <c r="G55" s="1012" t="s">
        <v>1301</v>
      </c>
      <c r="H55" s="1012" t="s">
        <v>1610</v>
      </c>
      <c r="I55" s="1012" t="s">
        <v>1595</v>
      </c>
      <c r="J55" s="1012" t="s">
        <v>1596</v>
      </c>
      <c r="K55" s="1012" t="s">
        <v>1611</v>
      </c>
      <c r="L55" s="1012" t="s">
        <v>1597</v>
      </c>
      <c r="N55" s="970" t="s">
        <v>1632</v>
      </c>
      <c r="O55" s="1012" t="s">
        <v>1301</v>
      </c>
      <c r="P55" s="1012" t="s">
        <v>1610</v>
      </c>
      <c r="Q55" s="1012" t="s">
        <v>1301</v>
      </c>
      <c r="R55" s="1012" t="s">
        <v>1610</v>
      </c>
      <c r="S55" s="1012"/>
      <c r="T55" s="1012"/>
    </row>
    <row r="56" spans="1:20" x14ac:dyDescent="0.2">
      <c r="D56" s="969" t="s">
        <v>1612</v>
      </c>
      <c r="E56" s="1027">
        <f>AVERAGE(I37:I41)</f>
        <v>11.5200388976337</v>
      </c>
      <c r="F56" s="973">
        <f>AVERAGE(J37:J41)</f>
        <v>1.0710338937159687</v>
      </c>
      <c r="G56" s="973">
        <f>AVERAGE(G37:G41)</f>
        <v>15.343474285490842</v>
      </c>
      <c r="H56" s="973">
        <f>AVERAGE(H37:H41)</f>
        <v>1.4666252082167179</v>
      </c>
      <c r="I56" s="1027">
        <f>MEDIAN(I37:I41)</f>
        <v>11.5200388976337</v>
      </c>
      <c r="J56" s="973">
        <f>MEDIAN(J37:J41)</f>
        <v>-8.8172605220599998E-3</v>
      </c>
      <c r="K56" s="973">
        <f>MEDIAN(G37:G41)</f>
        <v>12.307820798186301</v>
      </c>
      <c r="L56" s="973">
        <f>MEDIAN(H37:H41)</f>
        <v>1.2937510210496299</v>
      </c>
      <c r="N56" s="969" t="s">
        <v>1612</v>
      </c>
      <c r="O56" s="973">
        <f>AVERAGE(E37:E41)</f>
        <v>4.2277137312183601</v>
      </c>
      <c r="P56" s="973">
        <f>AVERAGE(F37:F41)</f>
        <v>0.95363551276874547</v>
      </c>
      <c r="Q56" s="973">
        <f>MEDIAN(E37:E41)</f>
        <v>4.9335805387383544</v>
      </c>
      <c r="R56" s="973">
        <f>MEDIAN(F37:F41)</f>
        <v>1.1857791097832751</v>
      </c>
      <c r="S56" s="973"/>
      <c r="T56" s="973"/>
    </row>
    <row r="57" spans="1:20" x14ac:dyDescent="0.2">
      <c r="D57" s="969" t="s">
        <v>1613</v>
      </c>
      <c r="E57" s="1027">
        <f>AVERAGE(I42:I46)</f>
        <v>164.95269433305646</v>
      </c>
      <c r="F57" s="973">
        <f>AVERAGE(J42:J46)</f>
        <v>1.5269712606792758</v>
      </c>
      <c r="G57" s="973">
        <f>AVERAGE(G42:G46)</f>
        <v>12.559939669501571</v>
      </c>
      <c r="H57" s="973">
        <f>AVERAGE(H42:H46)</f>
        <v>0.79068972107074431</v>
      </c>
      <c r="I57" s="1027">
        <f>MEDIAN(I42:I46)</f>
        <v>164.95269433305646</v>
      </c>
      <c r="J57" s="973">
        <f>MEDIAN(J42:J46)</f>
        <v>1.2320650510987901</v>
      </c>
      <c r="K57" s="973">
        <f>MEDIAN(G42:G46)</f>
        <v>8.9626995737837394</v>
      </c>
      <c r="L57" s="973">
        <f>MEDIAN(H42:H46)</f>
        <v>0.77467230564315004</v>
      </c>
      <c r="N57" s="969" t="s">
        <v>1613</v>
      </c>
      <c r="O57" s="973">
        <f>AVERAGE(E42:E46)</f>
        <v>5.4989663824109467</v>
      </c>
      <c r="P57" s="973">
        <f>AVERAGE(F42:F46)</f>
        <v>0.70144003834362501</v>
      </c>
      <c r="Q57" s="973">
        <f>MEDIAN(E42:E46)</f>
        <v>5.3708711964945399</v>
      </c>
      <c r="R57" s="973">
        <f>MEDIAN(F42:F46)</f>
        <v>0.69136831660623499</v>
      </c>
      <c r="S57" s="973"/>
      <c r="T57" s="973"/>
    </row>
    <row r="58" spans="1:20" x14ac:dyDescent="0.2">
      <c r="D58" s="969" t="s">
        <v>499</v>
      </c>
      <c r="E58" s="973">
        <f>AVERAGE(I47:I52)</f>
        <v>57.727632515292619</v>
      </c>
      <c r="F58" s="973">
        <f>AVERAGE(J47:J52)</f>
        <v>0.74389491064932844</v>
      </c>
      <c r="G58" s="973">
        <f>AVERAGE(G47:G52)</f>
        <v>6.5115459624187126</v>
      </c>
      <c r="H58" s="973">
        <f>AVERAGE(H47:H52)</f>
        <v>1.1139755015226127</v>
      </c>
      <c r="I58" s="973">
        <f>MEDIAN(I47:I52)</f>
        <v>36.910288203097778</v>
      </c>
      <c r="J58" s="973">
        <f>MEDIAN(J47:J52)</f>
        <v>0.60912279603134145</v>
      </c>
      <c r="K58" s="973">
        <f>MEDIAN(G47:G52)</f>
        <v>5.0369282694230648</v>
      </c>
      <c r="L58" s="973">
        <f>MEDIAN(H47:H52)</f>
        <v>0.79872423895167555</v>
      </c>
      <c r="N58" s="969" t="s">
        <v>499</v>
      </c>
      <c r="O58" s="973">
        <f>AVERAGE(E47:E52)</f>
        <v>4.7802315749902586</v>
      </c>
      <c r="P58" s="973">
        <f>AVERAGE(F47:F52)</f>
        <v>0.91599033967851429</v>
      </c>
      <c r="Q58" s="973">
        <f>MEDIAN(E47:E52)</f>
        <v>4.6626648897493999</v>
      </c>
      <c r="R58" s="973">
        <f>MEDIAN(F47:F52)</f>
        <v>1.0613063143928501</v>
      </c>
      <c r="S58" s="973"/>
      <c r="T58" s="973"/>
    </row>
  </sheetData>
  <mergeCells count="4">
    <mergeCell ref="E54:H54"/>
    <mergeCell ref="I54:L54"/>
    <mergeCell ref="O54:P54"/>
    <mergeCell ref="Q54:R5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F27D5-0D8B-482E-B34D-02F6B7AF2A3A}">
  <sheetPr>
    <tabColor theme="5" tint="0.39997558519241921"/>
  </sheetPr>
  <dimension ref="A1:AD5"/>
  <sheetViews>
    <sheetView topLeftCell="A4" zoomScale="60" zoomScaleNormal="60" workbookViewId="0">
      <selection activeCell="E54" sqref="E54:H54"/>
    </sheetView>
  </sheetViews>
  <sheetFormatPr baseColWidth="10" defaultColWidth="8.83203125" defaultRowHeight="15" x14ac:dyDescent="0.2"/>
  <cols>
    <col min="1" max="16384" width="8.83203125" style="968"/>
  </cols>
  <sheetData>
    <row r="1" spans="1:30" x14ac:dyDescent="0.2">
      <c r="A1" s="970" t="s">
        <v>1301</v>
      </c>
      <c r="J1" s="970" t="s">
        <v>1302</v>
      </c>
      <c r="S1" s="970" t="s">
        <v>1595</v>
      </c>
      <c r="Y1" s="970" t="s">
        <v>1596</v>
      </c>
    </row>
    <row r="2" spans="1:30" x14ac:dyDescent="0.2">
      <c r="C2" s="968" t="s">
        <v>1633</v>
      </c>
      <c r="D2" s="968" t="s">
        <v>1634</v>
      </c>
      <c r="E2" s="968" t="s">
        <v>1635</v>
      </c>
      <c r="F2" s="968" t="s">
        <v>1636</v>
      </c>
      <c r="G2" s="968" t="s">
        <v>1637</v>
      </c>
      <c r="H2" s="968" t="s">
        <v>1638</v>
      </c>
      <c r="L2" s="968" t="s">
        <v>1633</v>
      </c>
      <c r="M2" s="968" t="s">
        <v>1634</v>
      </c>
      <c r="N2" s="968" t="s">
        <v>1635</v>
      </c>
      <c r="O2" s="968" t="s">
        <v>1636</v>
      </c>
      <c r="P2" s="968" t="s">
        <v>1637</v>
      </c>
      <c r="Q2" s="968" t="s">
        <v>1638</v>
      </c>
      <c r="U2" s="968" t="s">
        <v>1633</v>
      </c>
      <c r="V2" s="968" t="s">
        <v>1634</v>
      </c>
      <c r="W2" s="968" t="s">
        <v>1636</v>
      </c>
      <c r="X2" s="968" t="s">
        <v>1637</v>
      </c>
      <c r="AA2" s="968" t="s">
        <v>1633</v>
      </c>
      <c r="AB2" s="968" t="s">
        <v>1634</v>
      </c>
      <c r="AC2" s="968" t="s">
        <v>1636</v>
      </c>
      <c r="AD2" s="968" t="s">
        <v>1637</v>
      </c>
    </row>
    <row r="3" spans="1:30" x14ac:dyDescent="0.2">
      <c r="B3" s="968" t="s">
        <v>1639</v>
      </c>
      <c r="C3" s="1028">
        <v>-17.349186626685206</v>
      </c>
      <c r="D3" s="1028">
        <v>15.343474285490842</v>
      </c>
      <c r="E3" s="1028">
        <v>4.2277137312183601</v>
      </c>
      <c r="F3" s="1028">
        <v>10.487588803326579</v>
      </c>
      <c r="G3" s="1028">
        <v>12.307820798186301</v>
      </c>
      <c r="H3" s="1028">
        <v>4.9335805387383544</v>
      </c>
      <c r="K3" s="968" t="s">
        <v>1639</v>
      </c>
      <c r="L3" s="1028">
        <v>2.4268050329972248</v>
      </c>
      <c r="M3" s="1028">
        <v>1.4666252082167179</v>
      </c>
      <c r="N3" s="1028">
        <v>0.95363551276874547</v>
      </c>
      <c r="O3" s="1028">
        <v>2.6842716863883185</v>
      </c>
      <c r="P3" s="1028">
        <v>1.2937510210496299</v>
      </c>
      <c r="Q3" s="1028">
        <v>1.1857791097832751</v>
      </c>
      <c r="T3" s="968" t="s">
        <v>1639</v>
      </c>
      <c r="U3" s="1028">
        <v>34.906169407643539</v>
      </c>
      <c r="V3" s="1028">
        <v>11.5200388976337</v>
      </c>
      <c r="W3" s="1028">
        <v>18.478716607306733</v>
      </c>
      <c r="X3" s="1028">
        <v>11.5200388976337</v>
      </c>
      <c r="Z3" s="968" t="s">
        <v>1639</v>
      </c>
      <c r="AA3" s="1028">
        <v>2.2026236756561866</v>
      </c>
      <c r="AB3" s="1028">
        <v>1.0710338937159687</v>
      </c>
      <c r="AC3" s="1028">
        <v>2.6675465863781431</v>
      </c>
      <c r="AD3" s="1028">
        <v>-8.8172605220599998E-3</v>
      </c>
    </row>
    <row r="4" spans="1:30" x14ac:dyDescent="0.2">
      <c r="B4" s="968" t="s">
        <v>1640</v>
      </c>
      <c r="C4" s="1028">
        <v>61.199174270334446</v>
      </c>
      <c r="D4" s="1028">
        <v>12.559939669501571</v>
      </c>
      <c r="E4" s="1028">
        <v>5.4989663824109467</v>
      </c>
      <c r="F4" s="1028">
        <v>-13.765111576886568</v>
      </c>
      <c r="G4" s="1028">
        <v>8.9626995737837394</v>
      </c>
      <c r="H4" s="1028">
        <v>5.3708711964945399</v>
      </c>
      <c r="K4" s="968" t="s">
        <v>1640</v>
      </c>
      <c r="L4" s="1028">
        <v>1.3505174944111402</v>
      </c>
      <c r="M4" s="1028">
        <v>0.79068972107074431</v>
      </c>
      <c r="N4" s="1028">
        <v>0.70144003834362501</v>
      </c>
      <c r="O4" s="1028">
        <v>1.2751299735332957</v>
      </c>
      <c r="P4" s="1028">
        <v>0.77467230564315004</v>
      </c>
      <c r="Q4" s="1028">
        <v>0.69136831660623499</v>
      </c>
      <c r="T4" s="968" t="s">
        <v>1640</v>
      </c>
      <c r="U4" s="1028">
        <v>13.659963978796588</v>
      </c>
      <c r="V4" s="1028">
        <v>164.95269433305646</v>
      </c>
      <c r="W4" s="1028">
        <v>8.221932837455677</v>
      </c>
      <c r="X4" s="1028">
        <v>164.95269433305646</v>
      </c>
      <c r="Z4" s="968" t="s">
        <v>1640</v>
      </c>
      <c r="AA4" s="1028">
        <v>2.0672546184999221</v>
      </c>
      <c r="AB4" s="1028">
        <v>1.5269712606792758</v>
      </c>
      <c r="AC4" s="1028">
        <v>1.8057911747834172</v>
      </c>
      <c r="AD4" s="1028">
        <v>1.2320650510987901</v>
      </c>
    </row>
    <row r="5" spans="1:30" x14ac:dyDescent="0.2">
      <c r="B5" s="968" t="s">
        <v>499</v>
      </c>
      <c r="C5" s="1028">
        <v>22.193269959719988</v>
      </c>
      <c r="D5" s="1028">
        <v>6.5115459624187126</v>
      </c>
      <c r="E5" s="1028">
        <v>4.7802315749902586</v>
      </c>
      <c r="F5" s="1028">
        <v>13.596286998082601</v>
      </c>
      <c r="G5" s="1028">
        <v>5.0369282694230648</v>
      </c>
      <c r="H5" s="1028">
        <v>4.6626648897493999</v>
      </c>
      <c r="K5" s="968" t="s">
        <v>499</v>
      </c>
      <c r="L5" s="1028">
        <v>1.5538575040795759</v>
      </c>
      <c r="M5" s="1028">
        <v>1.1139755015226127</v>
      </c>
      <c r="N5" s="1028">
        <v>0.91599033967851429</v>
      </c>
      <c r="O5" s="1028">
        <v>1.2610462234833839</v>
      </c>
      <c r="P5" s="1028">
        <v>0.79872423895167555</v>
      </c>
      <c r="Q5" s="1028">
        <v>1.0613063143928501</v>
      </c>
      <c r="T5" s="968" t="s">
        <v>499</v>
      </c>
      <c r="U5" s="1028">
        <v>-6.5446124213880106</v>
      </c>
      <c r="V5" s="1028">
        <v>57.727632515292619</v>
      </c>
      <c r="W5" s="1028">
        <v>0.2213124723406702</v>
      </c>
      <c r="X5" s="1028">
        <v>36.910288203097778</v>
      </c>
      <c r="Z5" s="968" t="s">
        <v>499</v>
      </c>
      <c r="AA5" s="1028">
        <v>0.96664513060259649</v>
      </c>
      <c r="AB5" s="1028">
        <v>0.74389491064932844</v>
      </c>
      <c r="AC5" s="1028">
        <v>0.72127226313558124</v>
      </c>
      <c r="AD5" s="1028">
        <v>0.60912279603134145</v>
      </c>
    </row>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05F5A-CB02-48F4-9172-1221D20F10B6}">
  <sheetPr>
    <tabColor theme="5" tint="0.39997558519241921"/>
  </sheetPr>
  <dimension ref="A1:L22"/>
  <sheetViews>
    <sheetView topLeftCell="A13" workbookViewId="0">
      <selection activeCell="E54" sqref="E54:H54"/>
    </sheetView>
  </sheetViews>
  <sheetFormatPr baseColWidth="10" defaultColWidth="8.83203125" defaultRowHeight="15" x14ac:dyDescent="0.2"/>
  <cols>
    <col min="1" max="1" width="43.83203125" style="968" bestFit="1" customWidth="1"/>
    <col min="2" max="11" width="20.5" style="968" customWidth="1"/>
    <col min="12" max="12" width="21.33203125" style="968" bestFit="1" customWidth="1"/>
    <col min="13" max="16384" width="8.83203125" style="968"/>
  </cols>
  <sheetData>
    <row r="1" spans="1:12" ht="16" x14ac:dyDescent="0.2">
      <c r="A1" s="1008" t="s">
        <v>1316</v>
      </c>
      <c r="B1" s="1008" t="s">
        <v>1641</v>
      </c>
      <c r="C1" s="1006" t="s">
        <v>1642</v>
      </c>
      <c r="D1" s="1008" t="s">
        <v>1643</v>
      </c>
      <c r="E1" s="1008" t="s">
        <v>1644</v>
      </c>
      <c r="F1" s="1008" t="s">
        <v>1645</v>
      </c>
      <c r="G1" s="1008" t="s">
        <v>1646</v>
      </c>
      <c r="H1" s="1008" t="s">
        <v>1619</v>
      </c>
      <c r="I1" s="1008" t="s">
        <v>1647</v>
      </c>
      <c r="J1" s="1008" t="s">
        <v>1648</v>
      </c>
      <c r="K1" s="1008" t="s">
        <v>1649</v>
      </c>
      <c r="L1" s="1008" t="s">
        <v>1650</v>
      </c>
    </row>
    <row r="2" spans="1:12" ht="16" x14ac:dyDescent="0.2">
      <c r="A2" s="969" t="s">
        <v>1531</v>
      </c>
      <c r="B2" s="1007">
        <v>392534333.35896802</v>
      </c>
      <c r="C2" s="1007">
        <v>-347432000</v>
      </c>
      <c r="D2" s="1007">
        <v>-325108095.00727099</v>
      </c>
      <c r="E2" s="1007">
        <v>300865229.036632</v>
      </c>
      <c r="F2" s="973">
        <f>C2-D2</f>
        <v>-22323904.992729008</v>
      </c>
      <c r="G2" s="973">
        <f>E2+F2-B2</f>
        <v>-113993009.31506503</v>
      </c>
      <c r="H2" s="1007">
        <v>522607019.03689998</v>
      </c>
      <c r="I2" s="1007">
        <v>6.36</v>
      </c>
      <c r="J2" s="1029">
        <v>0.3</v>
      </c>
      <c r="K2" s="975">
        <f>B2/H2</f>
        <v>0.75110803923445224</v>
      </c>
      <c r="L2" s="975">
        <f>G2/H2</f>
        <v>-0.21812376252645826</v>
      </c>
    </row>
    <row r="3" spans="1:12" x14ac:dyDescent="0.2">
      <c r="A3" s="969" t="s">
        <v>1537</v>
      </c>
      <c r="B3" s="1007">
        <v>353693962.09644997</v>
      </c>
      <c r="C3" s="1007">
        <v>-1493398272.5162699</v>
      </c>
      <c r="D3" s="1007">
        <v>-856967002.27823997</v>
      </c>
      <c r="E3" s="1007">
        <v>183257338.32602999</v>
      </c>
      <c r="F3" s="973">
        <f t="shared" ref="F3:F10" si="0">C3-D3</f>
        <v>-636431270.23802996</v>
      </c>
      <c r="G3" s="973">
        <f t="shared" ref="G3:G10" si="1">E3+F3-B3</f>
        <v>-806867894.00844991</v>
      </c>
      <c r="H3" s="1007">
        <v>363241503.37695998</v>
      </c>
      <c r="I3" s="1007">
        <v>13.97</v>
      </c>
      <c r="J3" s="1030">
        <v>0.34</v>
      </c>
      <c r="K3" s="975">
        <f t="shared" ref="K3:K10" si="2">B3/H3</f>
        <v>0.97371572028044961</v>
      </c>
      <c r="L3" s="975">
        <f t="shared" ref="L3:L10" si="3">G3/H3</f>
        <v>-2.2212987406648552</v>
      </c>
    </row>
    <row r="4" spans="1:12" x14ac:dyDescent="0.2">
      <c r="A4" s="969" t="s">
        <v>1436</v>
      </c>
      <c r="B4" s="1007">
        <v>577000000</v>
      </c>
      <c r="C4" s="1007">
        <v>-1292000000</v>
      </c>
      <c r="D4" s="1007">
        <v>124000000</v>
      </c>
      <c r="E4" s="1007">
        <v>791000000</v>
      </c>
      <c r="F4" s="973">
        <f t="shared" si="0"/>
        <v>-1416000000</v>
      </c>
      <c r="G4" s="973">
        <f t="shared" si="1"/>
        <v>-1202000000</v>
      </c>
      <c r="H4" s="1007">
        <v>182000000</v>
      </c>
      <c r="I4" s="1007">
        <v>23.25</v>
      </c>
      <c r="J4" s="971">
        <v>0.27</v>
      </c>
      <c r="K4" s="975">
        <f t="shared" si="2"/>
        <v>3.1703296703296702</v>
      </c>
      <c r="L4" s="975">
        <f t="shared" si="3"/>
        <v>-6.604395604395604</v>
      </c>
    </row>
    <row r="5" spans="1:12" ht="16" x14ac:dyDescent="0.2">
      <c r="A5" s="969" t="s">
        <v>1461</v>
      </c>
      <c r="B5" s="1007">
        <v>249610000</v>
      </c>
      <c r="C5" s="1007">
        <v>-36981000</v>
      </c>
      <c r="D5" s="1007">
        <v>386690000</v>
      </c>
      <c r="E5" s="1007">
        <f>(459135-140844+387334)*1000</f>
        <v>705625000</v>
      </c>
      <c r="F5" s="973">
        <f t="shared" si="0"/>
        <v>-423671000</v>
      </c>
      <c r="G5" s="973">
        <f t="shared" si="1"/>
        <v>32344000</v>
      </c>
      <c r="H5" s="973">
        <f>[4]PeersJYS!$F$3</f>
        <v>551507000</v>
      </c>
      <c r="I5" s="1007">
        <v>7.39</v>
      </c>
      <c r="J5" s="1029">
        <v>0.25</v>
      </c>
      <c r="K5" s="975">
        <f t="shared" si="2"/>
        <v>0.45259624991160585</v>
      </c>
      <c r="L5" s="975">
        <f t="shared" si="3"/>
        <v>5.8646581095072231E-2</v>
      </c>
    </row>
    <row r="6" spans="1:12" ht="16" x14ac:dyDescent="0.2">
      <c r="A6" s="969" t="s">
        <v>1469</v>
      </c>
      <c r="B6" s="1007">
        <v>192558000</v>
      </c>
      <c r="C6" s="1007">
        <v>287464000</v>
      </c>
      <c r="D6" s="1007">
        <v>627984000</v>
      </c>
      <c r="E6" s="1007">
        <v>393991000</v>
      </c>
      <c r="F6" s="973">
        <f t="shared" si="0"/>
        <v>-340520000</v>
      </c>
      <c r="G6" s="973">
        <f t="shared" si="1"/>
        <v>-139087000</v>
      </c>
      <c r="H6" s="973">
        <f>[4]PeersJYS!$F$28</f>
        <v>274837000</v>
      </c>
      <c r="I6" s="1007">
        <v>8.9600000000000009</v>
      </c>
      <c r="J6" s="1029">
        <v>0.27</v>
      </c>
      <c r="K6" s="975">
        <f t="shared" si="2"/>
        <v>0.70062618934131871</v>
      </c>
      <c r="L6" s="975">
        <f t="shared" si="3"/>
        <v>-0.50607087109814186</v>
      </c>
    </row>
    <row r="7" spans="1:12" ht="16" x14ac:dyDescent="0.2">
      <c r="A7" s="969" t="s">
        <v>1481</v>
      </c>
      <c r="B7" s="1007">
        <v>2058000000</v>
      </c>
      <c r="C7" s="1007">
        <v>-11071000000</v>
      </c>
      <c r="D7" s="1007">
        <v>-3453000000</v>
      </c>
      <c r="E7" s="1007">
        <v>5384000000</v>
      </c>
      <c r="F7" s="973">
        <f t="shared" si="0"/>
        <v>-7618000000</v>
      </c>
      <c r="G7" s="973">
        <f t="shared" si="1"/>
        <v>-4292000000</v>
      </c>
      <c r="H7" s="973">
        <f>[4]PeersJYS!$F$8</f>
        <v>4492000000</v>
      </c>
      <c r="I7" s="1007">
        <v>8.18</v>
      </c>
      <c r="J7" s="1029">
        <v>0.27</v>
      </c>
      <c r="K7" s="975">
        <f t="shared" si="2"/>
        <v>0.45814781834372215</v>
      </c>
      <c r="L7" s="975">
        <f t="shared" si="3"/>
        <v>-0.95547640249332144</v>
      </c>
    </row>
    <row r="8" spans="1:12" ht="16" x14ac:dyDescent="0.2">
      <c r="A8" s="969" t="s">
        <v>1511</v>
      </c>
      <c r="B8" s="1007">
        <v>445668220.939794</v>
      </c>
      <c r="C8" s="1007">
        <v>-1361571996.0278101</v>
      </c>
      <c r="D8" s="1007">
        <v>-4414811051.86621</v>
      </c>
      <c r="E8" s="1007">
        <v>158957129.22501099</v>
      </c>
      <c r="F8" s="973">
        <f t="shared" si="0"/>
        <v>3053239055.8383999</v>
      </c>
      <c r="G8" s="973">
        <f t="shared" si="1"/>
        <v>2766527964.1236167</v>
      </c>
      <c r="H8" s="973">
        <f>[4]PeersJYS!$F$10</f>
        <v>112718186.38127699</v>
      </c>
      <c r="I8" s="1007">
        <v>36.68</v>
      </c>
      <c r="J8" s="1029">
        <v>0.3</v>
      </c>
      <c r="K8" s="975">
        <f t="shared" si="2"/>
        <v>3.9538271085403265</v>
      </c>
      <c r="L8" s="975">
        <f t="shared" si="3"/>
        <v>24.543758668771037</v>
      </c>
    </row>
    <row r="9" spans="1:12" x14ac:dyDescent="0.2">
      <c r="A9" s="969" t="s">
        <v>1533</v>
      </c>
      <c r="B9" s="1007">
        <v>2487000000</v>
      </c>
      <c r="C9" s="1007">
        <v>-4593000000</v>
      </c>
      <c r="D9" s="1007">
        <v>257000000</v>
      </c>
      <c r="E9" s="1007">
        <v>2043000000</v>
      </c>
      <c r="F9" s="973">
        <f t="shared" si="0"/>
        <v>-4850000000</v>
      </c>
      <c r="G9" s="973">
        <f t="shared" si="1"/>
        <v>-5294000000</v>
      </c>
      <c r="H9" s="973">
        <f>[4]PeersJYS!$F$50</f>
        <v>2118000000</v>
      </c>
      <c r="I9" s="1007">
        <v>16.46</v>
      </c>
      <c r="J9" s="971">
        <v>0.3</v>
      </c>
      <c r="K9" s="975">
        <f t="shared" si="2"/>
        <v>1.1742209631728044</v>
      </c>
      <c r="L9" s="975">
        <f t="shared" si="3"/>
        <v>-2.4995278564683665</v>
      </c>
    </row>
    <row r="10" spans="1:12" ht="16" x14ac:dyDescent="0.2">
      <c r="A10" s="969" t="s">
        <v>1357</v>
      </c>
      <c r="B10" s="1007">
        <v>1307000000</v>
      </c>
      <c r="C10" s="1007">
        <v>6002000000</v>
      </c>
      <c r="D10" s="1007">
        <v>9419000000</v>
      </c>
      <c r="E10" s="1007">
        <v>2766000000</v>
      </c>
      <c r="F10" s="973">
        <f t="shared" si="0"/>
        <v>-3417000000</v>
      </c>
      <c r="G10" s="973">
        <f t="shared" si="1"/>
        <v>-1958000000</v>
      </c>
      <c r="H10" s="973">
        <f>[4]PeersJYS!$F$48</f>
        <v>2954000000</v>
      </c>
      <c r="I10" s="1007">
        <v>5.95</v>
      </c>
      <c r="J10" s="1029">
        <v>0.27</v>
      </c>
      <c r="K10" s="975">
        <f t="shared" si="2"/>
        <v>0.44245091401489506</v>
      </c>
      <c r="L10" s="975">
        <f t="shared" si="3"/>
        <v>-0.66283006093432628</v>
      </c>
    </row>
    <row r="14" spans="1:12" x14ac:dyDescent="0.2">
      <c r="A14" s="969" t="s">
        <v>1651</v>
      </c>
      <c r="B14" s="972">
        <f>-(SS!$BO$18+SS!$BN$18+SS!$BM$18+SS!$BK$18)</f>
        <v>1191677</v>
      </c>
    </row>
    <row r="15" spans="1:12" x14ac:dyDescent="0.2">
      <c r="A15" s="969" t="s">
        <v>1652</v>
      </c>
      <c r="B15" s="972">
        <f>-(SS!$BO$179+SS!$BN$179+SS!$BM$179+SS!$BJ$179)</f>
        <v>1125064</v>
      </c>
    </row>
    <row r="16" spans="1:12" x14ac:dyDescent="0.2">
      <c r="A16" s="969" t="s">
        <v>1653</v>
      </c>
      <c r="B16" s="972">
        <f>SS!$BO$29+SS!$BN$29+SS!$BM$29+SS!$BK$29</f>
        <v>1004087.0937078421</v>
      </c>
    </row>
    <row r="17" spans="1:2" x14ac:dyDescent="0.2">
      <c r="A17" s="969" t="s">
        <v>1654</v>
      </c>
      <c r="B17" s="1031">
        <f>-10947834+8186904</f>
        <v>-2760930</v>
      </c>
    </row>
    <row r="18" spans="1:2" x14ac:dyDescent="0.2">
      <c r="A18" s="969" t="s">
        <v>1655</v>
      </c>
      <c r="B18" s="1031">
        <f>B15+B17-B14</f>
        <v>-2827543</v>
      </c>
    </row>
    <row r="20" spans="1:2" x14ac:dyDescent="0.2">
      <c r="A20" s="969" t="s">
        <v>1656</v>
      </c>
      <c r="B20" s="975">
        <f>B14/B16</f>
        <v>1.1868263295760884</v>
      </c>
    </row>
    <row r="21" spans="1:2" x14ac:dyDescent="0.2">
      <c r="A21" s="969" t="s">
        <v>1657</v>
      </c>
      <c r="B21" s="975">
        <f>B18/B16</f>
        <v>-2.8160336067647203</v>
      </c>
    </row>
    <row r="22" spans="1:2" x14ac:dyDescent="0.2">
      <c r="A22" s="969" t="s">
        <v>1658</v>
      </c>
      <c r="B22" s="971">
        <v>0.27</v>
      </c>
    </row>
  </sheetData>
  <pageMargins left="0.7" right="0.7" top="0.75" bottom="0.75" header="0.3" footer="0.3"/>
  <pageSetup orientation="portrait" horizontalDpi="0" verticalDpi="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269C9-213E-467B-878A-3855BF3EBFE7}">
  <sheetPr>
    <tabColor theme="5" tint="0.39997558519241921"/>
  </sheetPr>
  <dimension ref="A1:M23"/>
  <sheetViews>
    <sheetView topLeftCell="A15" workbookViewId="0">
      <selection activeCell="E54" sqref="E54:H54"/>
    </sheetView>
  </sheetViews>
  <sheetFormatPr baseColWidth="10" defaultColWidth="8.83203125" defaultRowHeight="15" x14ac:dyDescent="0.2"/>
  <cols>
    <col min="1" max="1" width="16.1640625" style="968" bestFit="1" customWidth="1"/>
    <col min="2" max="2" width="10.83203125" style="968" bestFit="1" customWidth="1"/>
    <col min="3" max="3" width="13.1640625" style="968" bestFit="1" customWidth="1"/>
    <col min="4" max="4" width="11.5" style="968" bestFit="1" customWidth="1"/>
    <col min="5" max="5" width="10.83203125" style="968" bestFit="1" customWidth="1"/>
    <col min="6" max="6" width="12.1640625" style="968" bestFit="1" customWidth="1"/>
    <col min="7" max="7" width="10.83203125" style="968" bestFit="1" customWidth="1"/>
    <col min="8" max="8" width="11.5" style="968" bestFit="1" customWidth="1"/>
    <col min="9" max="9" width="11.33203125" style="968" bestFit="1" customWidth="1"/>
    <col min="10" max="11" width="8.83203125" style="968"/>
    <col min="12" max="12" width="23.83203125" style="968" bestFit="1" customWidth="1"/>
    <col min="13" max="13" width="9.1640625" style="968" bestFit="1" customWidth="1"/>
    <col min="14" max="16384" width="8.83203125" style="968"/>
  </cols>
  <sheetData>
    <row r="1" spans="1:9" x14ac:dyDescent="0.2">
      <c r="A1" s="968" t="s">
        <v>575</v>
      </c>
    </row>
    <row r="2" spans="1:9" ht="16" thickBot="1" x14ac:dyDescent="0.25"/>
    <row r="3" spans="1:9" x14ac:dyDescent="0.2">
      <c r="A3" s="1032" t="s">
        <v>576</v>
      </c>
      <c r="B3" s="1032"/>
    </row>
    <row r="4" spans="1:9" x14ac:dyDescent="0.2">
      <c r="A4" s="968" t="s">
        <v>578</v>
      </c>
      <c r="B4" s="968">
        <v>0.98091273200119189</v>
      </c>
    </row>
    <row r="5" spans="1:9" x14ac:dyDescent="0.2">
      <c r="A5" s="968" t="s">
        <v>582</v>
      </c>
      <c r="B5" s="968">
        <v>0.96218978780204201</v>
      </c>
    </row>
    <row r="6" spans="1:9" x14ac:dyDescent="0.2">
      <c r="A6" s="968" t="s">
        <v>584</v>
      </c>
      <c r="B6" s="968">
        <v>0.94706570292285885</v>
      </c>
    </row>
    <row r="7" spans="1:9" x14ac:dyDescent="0.2">
      <c r="A7" s="968" t="s">
        <v>585</v>
      </c>
      <c r="B7" s="968">
        <v>2.4036188939502483</v>
      </c>
    </row>
    <row r="8" spans="1:9" ht="16" thickBot="1" x14ac:dyDescent="0.25">
      <c r="A8" s="1033" t="s">
        <v>588</v>
      </c>
      <c r="B8" s="1033">
        <v>8</v>
      </c>
    </row>
    <row r="10" spans="1:9" ht="16" thickBot="1" x14ac:dyDescent="0.25">
      <c r="A10" s="968" t="s">
        <v>591</v>
      </c>
    </row>
    <row r="11" spans="1:9" x14ac:dyDescent="0.2">
      <c r="A11" s="1034"/>
      <c r="B11" s="1034" t="s">
        <v>593</v>
      </c>
      <c r="C11" s="1034" t="s">
        <v>594</v>
      </c>
      <c r="D11" s="1034" t="s">
        <v>595</v>
      </c>
      <c r="E11" s="1034" t="s">
        <v>596</v>
      </c>
      <c r="F11" s="1034" t="s">
        <v>597</v>
      </c>
    </row>
    <row r="12" spans="1:9" x14ac:dyDescent="0.2">
      <c r="A12" s="968" t="s">
        <v>599</v>
      </c>
      <c r="B12" s="968">
        <v>2</v>
      </c>
      <c r="C12" s="968">
        <v>735.11088106322677</v>
      </c>
      <c r="D12" s="968">
        <v>367.55544053161339</v>
      </c>
      <c r="E12" s="968">
        <v>63.619702976303742</v>
      </c>
      <c r="F12" s="968">
        <v>2.7798591189542225E-4</v>
      </c>
    </row>
    <row r="13" spans="1:9" x14ac:dyDescent="0.2">
      <c r="A13" s="968" t="s">
        <v>601</v>
      </c>
      <c r="B13" s="968">
        <v>5</v>
      </c>
      <c r="C13" s="968">
        <v>28.886918936773075</v>
      </c>
      <c r="D13" s="968">
        <v>5.7773837873546148</v>
      </c>
    </row>
    <row r="14" spans="1:9" ht="16" thickBot="1" x14ac:dyDescent="0.25">
      <c r="A14" s="1033" t="s">
        <v>275</v>
      </c>
      <c r="B14" s="1033">
        <v>7</v>
      </c>
      <c r="C14" s="1033">
        <v>763.99779999999987</v>
      </c>
      <c r="D14" s="1033"/>
      <c r="E14" s="1033"/>
      <c r="F14" s="1033"/>
    </row>
    <row r="15" spans="1:9" ht="16" thickBot="1" x14ac:dyDescent="0.25"/>
    <row r="16" spans="1:9" x14ac:dyDescent="0.2">
      <c r="A16" s="1034"/>
      <c r="B16" s="1034" t="s">
        <v>607</v>
      </c>
      <c r="C16" s="1034" t="s">
        <v>585</v>
      </c>
      <c r="D16" s="1034" t="s">
        <v>608</v>
      </c>
      <c r="E16" s="1034" t="s">
        <v>609</v>
      </c>
      <c r="F16" s="1034" t="s">
        <v>610</v>
      </c>
      <c r="G16" s="1034" t="s">
        <v>611</v>
      </c>
      <c r="H16" s="1034" t="s">
        <v>612</v>
      </c>
      <c r="I16" s="1034" t="s">
        <v>613</v>
      </c>
    </row>
    <row r="17" spans="1:13" x14ac:dyDescent="0.2">
      <c r="A17" s="968" t="s">
        <v>1659</v>
      </c>
      <c r="B17" s="968">
        <v>-13.040077496796151</v>
      </c>
      <c r="C17" s="968">
        <v>9.2194994819732941</v>
      </c>
      <c r="D17" s="968">
        <v>-1.4144018905031839</v>
      </c>
      <c r="E17" s="968">
        <v>0.21638512835255891</v>
      </c>
      <c r="F17" s="968">
        <v>-36.739555398815114</v>
      </c>
      <c r="G17" s="968">
        <v>10.659400405222815</v>
      </c>
      <c r="H17" s="968">
        <v>-36.739555398815114</v>
      </c>
      <c r="I17" s="968">
        <v>10.659400405222815</v>
      </c>
    </row>
    <row r="18" spans="1:13" x14ac:dyDescent="0.2">
      <c r="A18" s="968" t="s">
        <v>1648</v>
      </c>
      <c r="B18" s="968">
        <v>63.728810940268708</v>
      </c>
      <c r="C18" s="968">
        <v>32.901132556687131</v>
      </c>
      <c r="D18" s="968">
        <v>1.9369792462453053</v>
      </c>
      <c r="E18" s="968">
        <v>0.11049764308197882</v>
      </c>
      <c r="F18" s="968">
        <v>-20.846242781813821</v>
      </c>
      <c r="G18" s="968">
        <v>148.30386466235123</v>
      </c>
      <c r="H18" s="968">
        <v>-20.846242781813821</v>
      </c>
      <c r="I18" s="968">
        <v>148.30386466235123</v>
      </c>
    </row>
    <row r="19" spans="1:13" ht="16" thickBot="1" x14ac:dyDescent="0.25">
      <c r="A19" s="1033" t="s">
        <v>1660</v>
      </c>
      <c r="B19" s="1033">
        <v>7.1072599204284908</v>
      </c>
      <c r="C19" s="1033">
        <v>0.68007579355889058</v>
      </c>
      <c r="D19" s="1033">
        <v>10.450687978814296</v>
      </c>
      <c r="E19" s="1033">
        <v>1.3832207590325647E-4</v>
      </c>
      <c r="F19" s="1033">
        <v>5.3590694386500539</v>
      </c>
      <c r="G19" s="1033">
        <v>8.8554504022069267</v>
      </c>
      <c r="H19" s="1033">
        <v>5.3590694386500539</v>
      </c>
      <c r="I19" s="1033">
        <v>8.8554504022069267</v>
      </c>
    </row>
    <row r="22" spans="1:13" x14ac:dyDescent="0.2">
      <c r="L22" s="970" t="s">
        <v>1661</v>
      </c>
      <c r="M22" s="1035">
        <f>B17+B18*[5]Sheet1!B22+'Multiples Reg (2)'!B19*[5]Sheet1!B20</f>
        <v>12.601784661781787</v>
      </c>
    </row>
    <row r="23" spans="1:13" x14ac:dyDescent="0.2">
      <c r="L23" s="970" t="s">
        <v>1662</v>
      </c>
      <c r="M23" s="1036">
        <f>M22*[5]Sheet1!B16</f>
        <v>12653289.336580535</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9827E-6761-4CE4-9927-FDC89C4FA7A6}">
  <sheetPr>
    <tabColor theme="5" tint="0.39997558519241921"/>
  </sheetPr>
  <dimension ref="A1:M23"/>
  <sheetViews>
    <sheetView workbookViewId="0">
      <selection activeCell="E54" sqref="E54:H54"/>
    </sheetView>
  </sheetViews>
  <sheetFormatPr baseColWidth="10" defaultColWidth="8.83203125" defaultRowHeight="15" x14ac:dyDescent="0.2"/>
  <cols>
    <col min="1" max="1" width="16.1640625" style="968" bestFit="1" customWidth="1"/>
    <col min="2" max="2" width="11.5" style="968" bestFit="1" customWidth="1"/>
    <col min="3" max="3" width="13.1640625" style="968" bestFit="1" customWidth="1"/>
    <col min="4" max="4" width="11.5" style="968" bestFit="1" customWidth="1"/>
    <col min="5" max="5" width="10.83203125" style="968" bestFit="1" customWidth="1"/>
    <col min="6" max="6" width="12.1640625" style="968" bestFit="1" customWidth="1"/>
    <col min="7" max="7" width="10.83203125" style="968" bestFit="1" customWidth="1"/>
    <col min="8" max="8" width="11.5" style="968" bestFit="1" customWidth="1"/>
    <col min="9" max="9" width="11.33203125" style="968" bestFit="1" customWidth="1"/>
    <col min="10" max="11" width="8.83203125" style="968"/>
    <col min="12" max="12" width="21.33203125" style="968" bestFit="1" customWidth="1"/>
    <col min="13" max="13" width="9.1640625" style="968" bestFit="1" customWidth="1"/>
    <col min="14" max="16384" width="8.83203125" style="968"/>
  </cols>
  <sheetData>
    <row r="1" spans="1:9" x14ac:dyDescent="0.2">
      <c r="A1" s="968" t="s">
        <v>575</v>
      </c>
    </row>
    <row r="2" spans="1:9" ht="16" thickBot="1" x14ac:dyDescent="0.25"/>
    <row r="3" spans="1:9" x14ac:dyDescent="0.2">
      <c r="A3" s="1032" t="s">
        <v>576</v>
      </c>
      <c r="B3" s="1032"/>
    </row>
    <row r="4" spans="1:9" x14ac:dyDescent="0.2">
      <c r="A4" s="968" t="s">
        <v>578</v>
      </c>
      <c r="B4" s="968">
        <v>0.9918641522170929</v>
      </c>
    </row>
    <row r="5" spans="1:9" x14ac:dyDescent="0.2">
      <c r="A5" s="968" t="s">
        <v>582</v>
      </c>
      <c r="B5" s="968">
        <v>0.9837944964533325</v>
      </c>
    </row>
    <row r="6" spans="1:9" x14ac:dyDescent="0.2">
      <c r="A6" s="968" t="s">
        <v>584</v>
      </c>
      <c r="B6" s="968">
        <v>0.97164036879333193</v>
      </c>
    </row>
    <row r="7" spans="1:9" x14ac:dyDescent="0.2">
      <c r="A7" s="968" t="s">
        <v>585</v>
      </c>
      <c r="B7" s="968">
        <v>1.759330061241082</v>
      </c>
    </row>
    <row r="8" spans="1:9" ht="16" thickBot="1" x14ac:dyDescent="0.25">
      <c r="A8" s="1033" t="s">
        <v>588</v>
      </c>
      <c r="B8" s="1033">
        <v>8</v>
      </c>
    </row>
    <row r="10" spans="1:9" ht="16" thickBot="1" x14ac:dyDescent="0.25">
      <c r="A10" s="968" t="s">
        <v>591</v>
      </c>
    </row>
    <row r="11" spans="1:9" x14ac:dyDescent="0.2">
      <c r="A11" s="1034"/>
      <c r="B11" s="1034" t="s">
        <v>593</v>
      </c>
      <c r="C11" s="1034" t="s">
        <v>594</v>
      </c>
      <c r="D11" s="1034" t="s">
        <v>595</v>
      </c>
      <c r="E11" s="1034" t="s">
        <v>596</v>
      </c>
      <c r="F11" s="1034" t="s">
        <v>597</v>
      </c>
    </row>
    <row r="12" spans="1:9" x14ac:dyDescent="0.2">
      <c r="A12" s="968" t="s">
        <v>599</v>
      </c>
      <c r="B12" s="968">
        <v>3</v>
      </c>
      <c r="C12" s="968">
        <v>751.6168309424537</v>
      </c>
      <c r="D12" s="968">
        <v>250.53894364748456</v>
      </c>
      <c r="E12" s="968">
        <v>80.943241997614422</v>
      </c>
      <c r="F12" s="968">
        <v>4.8974134810309043E-4</v>
      </c>
    </row>
    <row r="13" spans="1:9" x14ac:dyDescent="0.2">
      <c r="A13" s="968" t="s">
        <v>601</v>
      </c>
      <c r="B13" s="968">
        <v>4</v>
      </c>
      <c r="C13" s="968">
        <v>12.380969057546199</v>
      </c>
      <c r="D13" s="968">
        <v>3.0952422643865498</v>
      </c>
    </row>
    <row r="14" spans="1:9" ht="16" thickBot="1" x14ac:dyDescent="0.25">
      <c r="A14" s="1033" t="s">
        <v>275</v>
      </c>
      <c r="B14" s="1033">
        <v>7</v>
      </c>
      <c r="C14" s="1033">
        <v>763.99779999999987</v>
      </c>
      <c r="D14" s="1033"/>
      <c r="E14" s="1033"/>
      <c r="F14" s="1033"/>
    </row>
    <row r="15" spans="1:9" ht="16" thickBot="1" x14ac:dyDescent="0.25"/>
    <row r="16" spans="1:9" x14ac:dyDescent="0.2">
      <c r="A16" s="1034"/>
      <c r="B16" s="1034" t="s">
        <v>607</v>
      </c>
      <c r="C16" s="1034" t="s">
        <v>585</v>
      </c>
      <c r="D16" s="1034" t="s">
        <v>608</v>
      </c>
      <c r="E16" s="1034" t="s">
        <v>609</v>
      </c>
      <c r="F16" s="1034" t="s">
        <v>610</v>
      </c>
      <c r="G16" s="1034" t="s">
        <v>611</v>
      </c>
      <c r="H16" s="1034" t="s">
        <v>612</v>
      </c>
      <c r="I16" s="1034" t="s">
        <v>613</v>
      </c>
    </row>
    <row r="17" spans="1:13" x14ac:dyDescent="0.2">
      <c r="A17" s="968" t="s">
        <v>1659</v>
      </c>
      <c r="B17" s="968">
        <v>-10.966630157351389</v>
      </c>
      <c r="C17" s="968">
        <v>6.8076891621428128</v>
      </c>
      <c r="D17" s="968">
        <v>-1.6109181685815239</v>
      </c>
      <c r="E17" s="968">
        <v>0.18248751481306263</v>
      </c>
      <c r="F17" s="968">
        <v>-29.86780540929087</v>
      </c>
      <c r="G17" s="968">
        <v>7.934545094588092</v>
      </c>
      <c r="H17" s="968">
        <v>-29.86780540929087</v>
      </c>
      <c r="I17" s="968">
        <v>7.934545094588092</v>
      </c>
    </row>
    <row r="18" spans="1:13" x14ac:dyDescent="0.2">
      <c r="A18" s="968" t="s">
        <v>1648</v>
      </c>
      <c r="B18" s="968">
        <v>59.463525532854383</v>
      </c>
      <c r="C18" s="968">
        <v>24.152728415545468</v>
      </c>
      <c r="D18" s="968">
        <v>2.4619796368256996</v>
      </c>
      <c r="E18" s="968">
        <v>6.9543291432119694E-2</v>
      </c>
      <c r="F18" s="968">
        <v>-7.595199053658483</v>
      </c>
      <c r="G18" s="968">
        <v>126.52225011936724</v>
      </c>
      <c r="H18" s="968">
        <v>-7.595199053658483</v>
      </c>
      <c r="I18" s="968">
        <v>126.52225011936724</v>
      </c>
    </row>
    <row r="19" spans="1:13" x14ac:dyDescent="0.2">
      <c r="A19" s="968" t="s">
        <v>1660</v>
      </c>
      <c r="B19" s="968">
        <v>6.3015391773840665</v>
      </c>
      <c r="C19" s="968">
        <v>0.60788478659142442</v>
      </c>
      <c r="D19" s="968">
        <v>10.366338023885271</v>
      </c>
      <c r="E19" s="968">
        <v>4.888506244382293E-4</v>
      </c>
      <c r="F19" s="968">
        <v>4.613780437128101</v>
      </c>
      <c r="G19" s="968">
        <v>7.9892979176400321</v>
      </c>
      <c r="H19" s="968">
        <v>4.613780437128101</v>
      </c>
      <c r="I19" s="968">
        <v>7.9892979176400321</v>
      </c>
    </row>
    <row r="20" spans="1:13" ht="16" thickBot="1" x14ac:dyDescent="0.25">
      <c r="A20" s="1033" t="s">
        <v>1663</v>
      </c>
      <c r="B20" s="1033">
        <v>0.19906591854592209</v>
      </c>
      <c r="C20" s="1033">
        <v>8.6203316472450733E-2</v>
      </c>
      <c r="D20" s="1033">
        <v>2.3092605562286055</v>
      </c>
      <c r="E20" s="1033">
        <v>8.2098953342359712E-2</v>
      </c>
      <c r="F20" s="1033">
        <v>-4.0272857525830069E-2</v>
      </c>
      <c r="G20" s="1033">
        <v>0.43840469461767428</v>
      </c>
      <c r="H20" s="1033">
        <v>-4.0272857525830069E-2</v>
      </c>
      <c r="I20" s="1033">
        <v>0.43840469461767428</v>
      </c>
    </row>
    <row r="22" spans="1:13" x14ac:dyDescent="0.2">
      <c r="L22" s="970" t="s">
        <v>1661</v>
      </c>
      <c r="M22" s="976">
        <f>B17+B18*[5]Sheet1!B22+'Multiples Reg (3)'!B19*[5]Sheet1!B20+'Multiples Reg (3)'!B20*[5]Sheet1!B21</f>
        <v>12.006778032507146</v>
      </c>
    </row>
    <row r="23" spans="1:13" x14ac:dyDescent="0.2">
      <c r="L23" s="970" t="s">
        <v>1662</v>
      </c>
      <c r="M23" s="1036">
        <f>M22*[5]Sheet1!B16</f>
        <v>12055850.859455261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0D73C-36A7-499B-BE46-3461A1F38FE2}">
  <sheetPr>
    <tabColor theme="5" tint="0.39997558519241921"/>
  </sheetPr>
  <dimension ref="A1:J7"/>
  <sheetViews>
    <sheetView zoomScale="60" zoomScaleNormal="60" workbookViewId="0">
      <selection activeCell="E54" sqref="E54:H54"/>
    </sheetView>
  </sheetViews>
  <sheetFormatPr baseColWidth="10" defaultColWidth="8.83203125" defaultRowHeight="15" x14ac:dyDescent="0.2"/>
  <cols>
    <col min="1" max="1" width="10.33203125" style="968" bestFit="1" customWidth="1"/>
    <col min="2" max="16384" width="8.83203125" style="968"/>
  </cols>
  <sheetData>
    <row r="1" spans="1:10" x14ac:dyDescent="0.2">
      <c r="B1" s="1037">
        <v>2019</v>
      </c>
      <c r="C1" s="1037">
        <v>2020</v>
      </c>
      <c r="D1" s="1037">
        <v>2021</v>
      </c>
      <c r="E1" s="1037">
        <v>2022</v>
      </c>
      <c r="F1" s="1037">
        <v>2023</v>
      </c>
      <c r="G1" s="1037">
        <v>2024</v>
      </c>
      <c r="H1" s="1037">
        <v>2025</v>
      </c>
      <c r="I1" s="1037">
        <v>2026</v>
      </c>
      <c r="J1" s="1037">
        <v>2027</v>
      </c>
    </row>
    <row r="2" spans="1:10" ht="16" x14ac:dyDescent="0.2">
      <c r="A2" s="968" t="s">
        <v>8</v>
      </c>
      <c r="B2" s="1038">
        <v>0.29299999999999998</v>
      </c>
      <c r="C2" s="1038">
        <v>0.27600000000000002</v>
      </c>
      <c r="D2" s="1038">
        <v>0.18</v>
      </c>
      <c r="E2" s="1038">
        <v>0.188</v>
      </c>
      <c r="F2" s="1038">
        <v>0.25</v>
      </c>
      <c r="G2" s="1038">
        <v>0.28000000000000003</v>
      </c>
      <c r="H2" s="1038">
        <v>0.28000000000000003</v>
      </c>
      <c r="I2" s="1038">
        <v>0.26</v>
      </c>
      <c r="J2" s="1038">
        <v>0.25</v>
      </c>
    </row>
    <row r="3" spans="1:10" ht="16" x14ac:dyDescent="0.2">
      <c r="A3" s="968" t="s">
        <v>1664</v>
      </c>
      <c r="B3" s="1038">
        <v>5.04E-2</v>
      </c>
      <c r="C3" s="1038">
        <v>5.1999999999999998E-2</v>
      </c>
      <c r="D3" s="1038">
        <v>7.6399999999999996E-2</v>
      </c>
      <c r="E3" s="1038">
        <v>8.7900000000000006E-2</v>
      </c>
      <c r="F3" s="1038">
        <v>7.9100000000000004E-2</v>
      </c>
      <c r="G3" s="1038">
        <v>7.5800000000000006E-2</v>
      </c>
      <c r="H3" s="1038">
        <v>7.6600000000000001E-2</v>
      </c>
      <c r="I3" s="1038">
        <v>8.2500000000000004E-2</v>
      </c>
      <c r="J3" s="1038">
        <v>8.5000000000000006E-2</v>
      </c>
    </row>
    <row r="4" spans="1:10" ht="16" x14ac:dyDescent="0.2">
      <c r="A4" s="968" t="s">
        <v>1665</v>
      </c>
      <c r="B4" s="1038">
        <v>0.39600000000000002</v>
      </c>
      <c r="C4" s="1038">
        <v>0.41599999999999998</v>
      </c>
      <c r="D4" s="1038">
        <v>0.40400000000000003</v>
      </c>
      <c r="E4" s="1039">
        <v>0.38600000000000001</v>
      </c>
      <c r="F4" s="1039">
        <v>0.38400000000000001</v>
      </c>
      <c r="G4" s="1039">
        <v>0.38100000000000001</v>
      </c>
      <c r="H4" s="1039">
        <v>0.38</v>
      </c>
      <c r="I4" s="1039">
        <v>0.379</v>
      </c>
      <c r="J4" s="1039">
        <v>0.378</v>
      </c>
    </row>
    <row r="5" spans="1:10" x14ac:dyDescent="0.2">
      <c r="A5" s="968" t="s">
        <v>1665</v>
      </c>
      <c r="B5" s="1040">
        <v>0.27400000000000002</v>
      </c>
      <c r="C5" s="1040">
        <v>0.27500000000000002</v>
      </c>
      <c r="D5" s="1040">
        <v>0.28299999999999997</v>
      </c>
      <c r="E5" s="1040">
        <v>0.28599999999999998</v>
      </c>
      <c r="F5" s="1040">
        <v>0.28599999999999998</v>
      </c>
      <c r="G5" s="1040">
        <v>0.28699999999999998</v>
      </c>
      <c r="H5" s="1040">
        <v>0.28699999999999998</v>
      </c>
      <c r="I5" s="1040">
        <v>0.28699999999999998</v>
      </c>
      <c r="J5" s="1040">
        <v>0.28699999999999998</v>
      </c>
    </row>
    <row r="6" spans="1:10" ht="16" x14ac:dyDescent="0.2">
      <c r="A6" s="968" t="s">
        <v>6</v>
      </c>
      <c r="B6" s="1038">
        <v>0.34720000000000001</v>
      </c>
      <c r="C6" s="1038">
        <v>0.32490000000000002</v>
      </c>
      <c r="D6" s="1038">
        <v>0.30509999999999998</v>
      </c>
      <c r="E6" s="1038">
        <v>0.34050000000000002</v>
      </c>
      <c r="F6" s="1039">
        <v>0.33829999999999999</v>
      </c>
      <c r="G6" s="1039">
        <v>0.3322</v>
      </c>
      <c r="H6" s="1039">
        <v>0.32840000000000003</v>
      </c>
      <c r="I6" s="1039">
        <v>0.32569999999999999</v>
      </c>
      <c r="J6" s="1039">
        <v>0.3231</v>
      </c>
    </row>
    <row r="7" spans="1:10" x14ac:dyDescent="0.2">
      <c r="A7" s="968" t="s">
        <v>1666</v>
      </c>
      <c r="B7" s="1040">
        <v>0.30595273499999998</v>
      </c>
      <c r="C7" s="1040">
        <v>0.33528073600000002</v>
      </c>
      <c r="D7" s="1040">
        <v>0.34214614399999999</v>
      </c>
      <c r="E7" s="1040">
        <v>0.32773533799999999</v>
      </c>
      <c r="F7" s="1040">
        <v>0.32875101299999998</v>
      </c>
      <c r="G7" s="1040">
        <v>0.33083643899999998</v>
      </c>
      <c r="H7" s="1040">
        <v>0.33167970000000002</v>
      </c>
      <c r="I7" s="1040">
        <v>0.33228216999999999</v>
      </c>
      <c r="J7" s="1040">
        <v>0.33286322699999998</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4B9E4-39FD-4FAC-A588-C066815F6538}">
  <sheetPr>
    <tabColor theme="5" tint="0.39997558519241921"/>
  </sheetPr>
  <dimension ref="D1:H30"/>
  <sheetViews>
    <sheetView workbookViewId="0">
      <selection activeCell="E54" sqref="E54:H54"/>
    </sheetView>
  </sheetViews>
  <sheetFormatPr baseColWidth="10" defaultColWidth="8.83203125" defaultRowHeight="15" x14ac:dyDescent="0.2"/>
  <cols>
    <col min="1" max="1" width="17.1640625" style="968" bestFit="1" customWidth="1"/>
    <col min="2" max="3" width="8.83203125" style="968"/>
    <col min="4" max="4" width="38.1640625" style="968" bestFit="1" customWidth="1"/>
    <col min="5" max="6" width="19.1640625" style="968" bestFit="1" customWidth="1"/>
    <col min="7" max="7" width="9.6640625" style="968" bestFit="1" customWidth="1"/>
    <col min="8" max="8" width="8.33203125" style="968" bestFit="1" customWidth="1"/>
    <col min="9" max="16384" width="8.83203125" style="968"/>
  </cols>
  <sheetData>
    <row r="1" spans="4:8" x14ac:dyDescent="0.2">
      <c r="E1" s="968" t="s">
        <v>1301</v>
      </c>
      <c r="F1" s="968" t="s">
        <v>1302</v>
      </c>
    </row>
    <row r="2" spans="4:8" ht="16" x14ac:dyDescent="0.2">
      <c r="D2" s="970" t="s">
        <v>1628</v>
      </c>
      <c r="E2" s="1041">
        <v>9604129169.9130287</v>
      </c>
      <c r="F2" s="1041">
        <v>9722535255.842083</v>
      </c>
    </row>
    <row r="3" spans="4:8" ht="24" x14ac:dyDescent="0.3">
      <c r="D3" s="968" t="s">
        <v>557</v>
      </c>
      <c r="E3" s="1042">
        <v>-4605288000</v>
      </c>
      <c r="F3" s="1042">
        <v>-4605288000</v>
      </c>
      <c r="G3" s="1043">
        <v>44926</v>
      </c>
      <c r="H3" s="1044" t="s">
        <v>997</v>
      </c>
    </row>
    <row r="4" spans="4:8" x14ac:dyDescent="0.2">
      <c r="D4" s="968" t="s">
        <v>559</v>
      </c>
      <c r="E4" s="972">
        <v>-56862000</v>
      </c>
      <c r="F4" s="972">
        <v>-56862000</v>
      </c>
      <c r="G4" s="1043">
        <v>44834</v>
      </c>
      <c r="H4" s="1044" t="s">
        <v>685</v>
      </c>
    </row>
    <row r="5" spans="4:8" x14ac:dyDescent="0.2">
      <c r="D5" s="968" t="s">
        <v>561</v>
      </c>
      <c r="E5" s="972">
        <v>175714000</v>
      </c>
      <c r="F5" s="972">
        <v>175714000</v>
      </c>
      <c r="G5" s="1043">
        <v>44834</v>
      </c>
      <c r="H5" s="1044" t="s">
        <v>685</v>
      </c>
    </row>
    <row r="6" spans="4:8" x14ac:dyDescent="0.2">
      <c r="D6" s="968" t="s">
        <v>565</v>
      </c>
      <c r="E6" s="972">
        <v>-13377000</v>
      </c>
      <c r="F6" s="1045">
        <v>-13377000</v>
      </c>
      <c r="G6" s="1043">
        <v>44834</v>
      </c>
      <c r="H6" s="1044" t="s">
        <v>685</v>
      </c>
    </row>
    <row r="7" spans="4:8" x14ac:dyDescent="0.2">
      <c r="D7" s="968" t="s">
        <v>568</v>
      </c>
      <c r="E7" s="972">
        <v>0</v>
      </c>
      <c r="F7" s="972">
        <v>0</v>
      </c>
      <c r="G7" s="1043">
        <v>44834</v>
      </c>
      <c r="H7" s="1044" t="s">
        <v>685</v>
      </c>
    </row>
    <row r="8" spans="4:8" x14ac:dyDescent="0.2">
      <c r="D8" s="970" t="s">
        <v>1667</v>
      </c>
      <c r="E8" s="1036">
        <f>SUM(E2:E7)</f>
        <v>5104316169.9130287</v>
      </c>
      <c r="F8" s="1036">
        <f>SUM(F2:F7)</f>
        <v>5222722255.842083</v>
      </c>
    </row>
    <row r="9" spans="4:8" x14ac:dyDescent="0.2">
      <c r="E9" s="972">
        <v>589994732307</v>
      </c>
      <c r="F9" s="972">
        <v>589994732307</v>
      </c>
    </row>
    <row r="10" spans="4:8" x14ac:dyDescent="0.2">
      <c r="E10" s="1023">
        <f>E8/E9</f>
        <v>8.6514605816124992E-3</v>
      </c>
      <c r="F10" s="1023">
        <f>F8/F9</f>
        <v>8.8521506546680034E-3</v>
      </c>
    </row>
    <row r="11" spans="4:8" x14ac:dyDescent="0.2">
      <c r="E11" s="972"/>
      <c r="F11" s="972"/>
    </row>
    <row r="12" spans="4:8" x14ac:dyDescent="0.2">
      <c r="E12" s="972"/>
      <c r="F12" s="972"/>
    </row>
    <row r="13" spans="4:8" x14ac:dyDescent="0.2">
      <c r="E13" s="972"/>
      <c r="F13" s="972"/>
    </row>
    <row r="14" spans="4:8" x14ac:dyDescent="0.2">
      <c r="E14" s="972"/>
      <c r="F14" s="972"/>
    </row>
    <row r="15" spans="4:8" x14ac:dyDescent="0.2">
      <c r="E15" s="972"/>
      <c r="F15" s="972"/>
    </row>
    <row r="16" spans="4:8" x14ac:dyDescent="0.2">
      <c r="E16" s="972"/>
      <c r="F16" s="972"/>
    </row>
    <row r="17" spans="5:6" x14ac:dyDescent="0.2">
      <c r="E17" s="972"/>
      <c r="F17" s="972"/>
    </row>
    <row r="18" spans="5:6" x14ac:dyDescent="0.2">
      <c r="E18" s="972"/>
      <c r="F18" s="972"/>
    </row>
    <row r="19" spans="5:6" x14ac:dyDescent="0.2">
      <c r="E19" s="972"/>
      <c r="F19" s="972"/>
    </row>
    <row r="20" spans="5:6" x14ac:dyDescent="0.2">
      <c r="E20" s="972"/>
      <c r="F20" s="972"/>
    </row>
    <row r="21" spans="5:6" x14ac:dyDescent="0.2">
      <c r="E21" s="972"/>
      <c r="F21" s="972"/>
    </row>
    <row r="22" spans="5:6" x14ac:dyDescent="0.2">
      <c r="E22" s="972"/>
      <c r="F22" s="972"/>
    </row>
    <row r="23" spans="5:6" x14ac:dyDescent="0.2">
      <c r="E23" s="972"/>
      <c r="F23" s="972"/>
    </row>
    <row r="24" spans="5:6" x14ac:dyDescent="0.2">
      <c r="E24" s="972"/>
      <c r="F24" s="972"/>
    </row>
    <row r="25" spans="5:6" x14ac:dyDescent="0.2">
      <c r="E25" s="972"/>
      <c r="F25" s="972"/>
    </row>
    <row r="26" spans="5:6" x14ac:dyDescent="0.2">
      <c r="E26" s="972"/>
      <c r="F26" s="972"/>
    </row>
    <row r="27" spans="5:6" x14ac:dyDescent="0.2">
      <c r="E27" s="972"/>
      <c r="F27" s="972"/>
    </row>
    <row r="28" spans="5:6" x14ac:dyDescent="0.2">
      <c r="E28" s="972"/>
      <c r="F28" s="972"/>
    </row>
    <row r="29" spans="5:6" x14ac:dyDescent="0.2">
      <c r="E29" s="972"/>
      <c r="F29" s="972"/>
    </row>
    <row r="30" spans="5:6" x14ac:dyDescent="0.2">
      <c r="E30" s="972"/>
      <c r="F30" s="972"/>
    </row>
  </sheetData>
  <pageMargins left="0.7" right="0.7" top="0.75" bottom="0.75" header="0.3" footer="0.3"/>
  <pageSetup orientation="portrait" horizontalDpi="0" verticalDpi="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F30D-5E57-4432-A7D2-28D0660B4CC7}">
  <sheetPr>
    <tabColor theme="5" tint="0.39997558519241921"/>
  </sheetPr>
  <dimension ref="A1:L42"/>
  <sheetViews>
    <sheetView zoomScale="60" zoomScaleNormal="60" workbookViewId="0">
      <selection activeCell="E54" sqref="E54:H54"/>
    </sheetView>
  </sheetViews>
  <sheetFormatPr baseColWidth="10" defaultColWidth="8.83203125" defaultRowHeight="15" x14ac:dyDescent="0.2"/>
  <cols>
    <col min="1" max="1" width="44.83203125" style="968" bestFit="1" customWidth="1"/>
    <col min="2" max="6" width="8.83203125" style="968"/>
    <col min="7" max="7" width="8.83203125" style="968" bestFit="1" customWidth="1"/>
    <col min="8" max="8" width="8.33203125" style="968" bestFit="1" customWidth="1"/>
    <col min="9" max="13" width="8.83203125" style="968"/>
    <col min="14" max="14" width="47.83203125" style="968" customWidth="1"/>
    <col min="15" max="16384" width="8.83203125" style="968"/>
  </cols>
  <sheetData>
    <row r="1" spans="1:12" x14ac:dyDescent="0.2">
      <c r="A1" s="1046"/>
      <c r="B1" s="1047"/>
      <c r="C1" s="1047"/>
      <c r="D1" s="1047"/>
      <c r="E1" s="1047"/>
      <c r="F1" s="1048"/>
      <c r="G1" s="1048"/>
      <c r="H1" s="1048"/>
      <c r="I1" s="1048"/>
      <c r="J1" s="1048"/>
      <c r="K1" s="1048"/>
      <c r="L1" s="1048"/>
    </row>
    <row r="2" spans="1:12" x14ac:dyDescent="0.2">
      <c r="A2" s="1046" t="s">
        <v>379</v>
      </c>
      <c r="B2" s="1047"/>
      <c r="C2" s="1047"/>
      <c r="D2" s="1047"/>
      <c r="E2" s="1047"/>
      <c r="F2" s="1048"/>
      <c r="G2" s="1048"/>
      <c r="H2" s="1048"/>
      <c r="I2" s="1048"/>
      <c r="J2" s="1048"/>
      <c r="K2" s="1048"/>
      <c r="L2" s="1048"/>
    </row>
    <row r="3" spans="1:12" x14ac:dyDescent="0.2">
      <c r="A3" s="1046" t="s">
        <v>380</v>
      </c>
      <c r="B3" s="1049">
        <v>2017</v>
      </c>
      <c r="C3" s="1049">
        <v>2018</v>
      </c>
      <c r="D3" s="1049">
        <v>2019</v>
      </c>
      <c r="E3" s="1049">
        <v>2020</v>
      </c>
      <c r="F3" s="1049">
        <v>2021</v>
      </c>
      <c r="G3" s="1050" t="s">
        <v>0</v>
      </c>
      <c r="H3" s="1050" t="s">
        <v>1</v>
      </c>
      <c r="I3" s="1050" t="s">
        <v>2</v>
      </c>
      <c r="J3" s="1050" t="s">
        <v>3</v>
      </c>
      <c r="K3" s="1050" t="s">
        <v>4</v>
      </c>
      <c r="L3" s="1050" t="s">
        <v>5</v>
      </c>
    </row>
    <row r="4" spans="1:12" ht="18.5" customHeight="1" x14ac:dyDescent="0.2">
      <c r="A4" s="1046" t="s">
        <v>381</v>
      </c>
      <c r="B4" s="1047"/>
      <c r="C4" s="1047"/>
      <c r="D4" s="1047"/>
      <c r="E4" s="1047"/>
      <c r="F4" s="1048"/>
      <c r="G4" s="1048"/>
      <c r="H4" s="1048"/>
      <c r="I4" s="1048"/>
      <c r="J4" s="1048"/>
      <c r="K4" s="1048"/>
      <c r="L4" s="1048"/>
    </row>
    <row r="5" spans="1:12" x14ac:dyDescent="0.2">
      <c r="A5" s="1051" t="s">
        <v>382</v>
      </c>
      <c r="B5" s="1052"/>
      <c r="C5" s="1052"/>
      <c r="D5" s="1052"/>
      <c r="E5" s="1052"/>
      <c r="F5" s="1053"/>
      <c r="G5" s="1053"/>
      <c r="H5" s="1053"/>
      <c r="I5" s="1053"/>
      <c r="J5" s="1053"/>
      <c r="K5" s="1053"/>
      <c r="L5" s="1053"/>
    </row>
    <row r="6" spans="1:12" x14ac:dyDescent="0.2">
      <c r="A6" s="1046" t="s">
        <v>348</v>
      </c>
      <c r="B6" s="1054">
        <v>1223523</v>
      </c>
      <c r="C6" s="1054">
        <v>1170894</v>
      </c>
      <c r="D6" s="1054">
        <v>1268718</v>
      </c>
      <c r="E6" s="1054">
        <v>604525</v>
      </c>
      <c r="F6" s="1054">
        <v>915597</v>
      </c>
      <c r="G6" s="1055">
        <v>1091172</v>
      </c>
      <c r="H6" s="1055">
        <v>1283225</v>
      </c>
      <c r="I6" s="1055">
        <v>1364915</v>
      </c>
      <c r="J6" s="1055">
        <v>1411494</v>
      </c>
      <c r="K6" s="1055">
        <v>1456018</v>
      </c>
      <c r="L6" s="1055">
        <v>1529742</v>
      </c>
    </row>
    <row r="7" spans="1:12" x14ac:dyDescent="0.2">
      <c r="A7" s="1046" t="s">
        <v>350</v>
      </c>
      <c r="B7" s="1054">
        <v>236666</v>
      </c>
      <c r="C7" s="1054">
        <v>279344</v>
      </c>
      <c r="D7" s="1054">
        <v>354232</v>
      </c>
      <c r="E7" s="1054">
        <v>323574</v>
      </c>
      <c r="F7" s="1054">
        <v>287337</v>
      </c>
      <c r="G7" s="1055">
        <v>327838</v>
      </c>
      <c r="H7" s="1055">
        <v>349340</v>
      </c>
      <c r="I7" s="1055">
        <v>330245</v>
      </c>
      <c r="J7" s="1055">
        <v>340709</v>
      </c>
      <c r="K7" s="1055">
        <v>360264</v>
      </c>
      <c r="L7" s="1055">
        <v>367785</v>
      </c>
    </row>
    <row r="8" spans="1:12" x14ac:dyDescent="0.2">
      <c r="A8" s="1046" t="s">
        <v>347</v>
      </c>
      <c r="B8" s="1054">
        <v>441995</v>
      </c>
      <c r="C8" s="1054">
        <v>518017</v>
      </c>
      <c r="D8" s="1054">
        <v>518377</v>
      </c>
      <c r="E8" s="1054">
        <v>282674</v>
      </c>
      <c r="F8" s="1054">
        <v>233800</v>
      </c>
      <c r="G8" s="1055">
        <v>475802</v>
      </c>
      <c r="H8" s="1055">
        <v>559546</v>
      </c>
      <c r="I8" s="1055">
        <v>595167</v>
      </c>
      <c r="J8" s="1055">
        <v>615477</v>
      </c>
      <c r="K8" s="1055">
        <v>634892</v>
      </c>
      <c r="L8" s="1055">
        <v>667039</v>
      </c>
    </row>
    <row r="9" spans="1:12" x14ac:dyDescent="0.2">
      <c r="A9" s="1046" t="s">
        <v>383</v>
      </c>
      <c r="B9" s="1054">
        <v>-2194794</v>
      </c>
      <c r="C9" s="1054">
        <v>-2203962</v>
      </c>
      <c r="D9" s="1054">
        <v>-2842040</v>
      </c>
      <c r="E9" s="1054">
        <v>-3370960</v>
      </c>
      <c r="F9" s="1054">
        <v>-5994181</v>
      </c>
      <c r="G9" s="1055">
        <v>-2703226</v>
      </c>
      <c r="H9" s="1055">
        <v>-2880522</v>
      </c>
      <c r="I9" s="1055">
        <v>-2723069</v>
      </c>
      <c r="J9" s="1055">
        <v>-2809358</v>
      </c>
      <c r="K9" s="1055">
        <v>-2970596</v>
      </c>
      <c r="L9" s="1055">
        <v>-3032611</v>
      </c>
    </row>
    <row r="10" spans="1:12" x14ac:dyDescent="0.2">
      <c r="A10" s="1056" t="s">
        <v>384</v>
      </c>
      <c r="B10" s="1054">
        <v>-493668</v>
      </c>
      <c r="C10" s="1054">
        <v>-446889</v>
      </c>
      <c r="D10" s="1054">
        <v>-363824</v>
      </c>
      <c r="E10" s="1054">
        <v>222200</v>
      </c>
      <c r="F10" s="1057">
        <v>-285132</v>
      </c>
      <c r="G10" s="1047"/>
      <c r="H10" s="1047"/>
      <c r="I10" s="1047"/>
      <c r="J10" s="1047"/>
      <c r="K10" s="1047"/>
      <c r="L10" s="1047"/>
    </row>
    <row r="11" spans="1:12" x14ac:dyDescent="0.2">
      <c r="A11" s="1046" t="s">
        <v>368</v>
      </c>
      <c r="B11" s="1054">
        <v>-101087</v>
      </c>
      <c r="C11" s="1054">
        <v>-82365</v>
      </c>
      <c r="D11" s="1054">
        <v>-93570</v>
      </c>
      <c r="E11" s="1054">
        <v>-74116</v>
      </c>
      <c r="F11" s="1054">
        <v>-56233</v>
      </c>
      <c r="G11" s="1055">
        <v>-70712</v>
      </c>
      <c r="H11" s="1055">
        <v>-84821</v>
      </c>
      <c r="I11" s="1055">
        <v>-90221</v>
      </c>
      <c r="J11" s="1055">
        <v>-93300</v>
      </c>
      <c r="K11" s="1055">
        <v>-96243</v>
      </c>
      <c r="L11" s="1055">
        <v>-101116</v>
      </c>
    </row>
    <row r="12" spans="1:12" x14ac:dyDescent="0.2">
      <c r="A12" s="1056" t="s">
        <v>385</v>
      </c>
      <c r="B12" s="1054">
        <v>-377376</v>
      </c>
      <c r="C12" s="1054">
        <v>-308289</v>
      </c>
      <c r="D12" s="1054">
        <v>-291609</v>
      </c>
      <c r="E12" s="1054">
        <v>-612133</v>
      </c>
      <c r="F12" s="1054">
        <v>-740453</v>
      </c>
      <c r="G12" s="1058">
        <v>-237210</v>
      </c>
      <c r="H12" s="1058">
        <v>-273518</v>
      </c>
      <c r="I12" s="1058">
        <v>-314900</v>
      </c>
      <c r="J12" s="1058">
        <v>-327603</v>
      </c>
      <c r="K12" s="1058">
        <v>-339575</v>
      </c>
      <c r="L12" s="1058">
        <v>-352155</v>
      </c>
    </row>
    <row r="13" spans="1:12" x14ac:dyDescent="0.2">
      <c r="A13" s="1051" t="s">
        <v>386</v>
      </c>
      <c r="B13" s="1054">
        <v>-2982268</v>
      </c>
      <c r="C13" s="1054">
        <v>-3099448</v>
      </c>
      <c r="D13" s="1054">
        <v>-3686604</v>
      </c>
      <c r="E13" s="1054">
        <v>-2790799</v>
      </c>
      <c r="F13" s="1054">
        <v>-2844632</v>
      </c>
      <c r="G13" s="1055">
        <v>-1301270</v>
      </c>
      <c r="H13" s="1055">
        <v>-1550540</v>
      </c>
      <c r="I13" s="1055">
        <v>-1715466</v>
      </c>
      <c r="J13" s="1055">
        <v>-1774196</v>
      </c>
      <c r="K13" s="1055">
        <v>-1863410</v>
      </c>
      <c r="L13" s="1055">
        <v>-1962687</v>
      </c>
    </row>
    <row r="14" spans="1:12" x14ac:dyDescent="0.2">
      <c r="A14" s="1059" t="s">
        <v>387</v>
      </c>
      <c r="B14" s="1060">
        <v>-4247009</v>
      </c>
      <c r="C14" s="1060">
        <v>-4172698</v>
      </c>
      <c r="D14" s="1060">
        <v>-5136320</v>
      </c>
      <c r="E14" s="1060">
        <v>-5415035</v>
      </c>
      <c r="F14" s="1060">
        <v>-8198765</v>
      </c>
      <c r="G14" s="1060">
        <v>-2417606</v>
      </c>
      <c r="H14" s="1060">
        <v>-2597290</v>
      </c>
      <c r="I14" s="1060">
        <v>-2553330</v>
      </c>
      <c r="J14" s="1060">
        <v>-2636776</v>
      </c>
      <c r="K14" s="1060">
        <v>-2818649</v>
      </c>
      <c r="L14" s="1060">
        <v>-2884003</v>
      </c>
    </row>
    <row r="15" spans="1:12" x14ac:dyDescent="0.2">
      <c r="A15" s="1056" t="s">
        <v>388</v>
      </c>
      <c r="B15" s="1054">
        <v>648009</v>
      </c>
      <c r="C15" s="1054">
        <v>442684</v>
      </c>
      <c r="D15" s="1054">
        <v>546411</v>
      </c>
      <c r="E15" s="1054">
        <v>83390</v>
      </c>
      <c r="F15" s="1057">
        <v>116760</v>
      </c>
      <c r="G15" s="1061"/>
      <c r="H15" s="1061" t="s">
        <v>58</v>
      </c>
      <c r="I15" s="1061" t="s">
        <v>58</v>
      </c>
      <c r="J15" s="1061" t="s">
        <v>58</v>
      </c>
      <c r="K15" s="1061" t="s">
        <v>58</v>
      </c>
      <c r="L15" s="1061" t="s">
        <v>58</v>
      </c>
    </row>
    <row r="16" spans="1:12" x14ac:dyDescent="0.2">
      <c r="A16" s="1046" t="s">
        <v>356</v>
      </c>
      <c r="B16" s="1054">
        <v>1617247</v>
      </c>
      <c r="C16" s="1054">
        <v>1441072</v>
      </c>
      <c r="D16" s="1054">
        <v>1448241</v>
      </c>
      <c r="E16" s="1054">
        <v>1046559</v>
      </c>
      <c r="F16" s="1054">
        <v>1018892</v>
      </c>
      <c r="G16" s="1058">
        <v>1018765</v>
      </c>
      <c r="H16" s="1058">
        <v>1018765</v>
      </c>
      <c r="I16" s="1058">
        <v>1018765</v>
      </c>
      <c r="J16" s="1058">
        <v>1018765</v>
      </c>
      <c r="K16" s="1058">
        <v>1018765</v>
      </c>
      <c r="L16" s="1058">
        <v>1018765</v>
      </c>
    </row>
    <row r="17" spans="1:12" x14ac:dyDescent="0.2">
      <c r="A17" s="1046" t="s">
        <v>355</v>
      </c>
      <c r="B17" s="1054">
        <v>2672550</v>
      </c>
      <c r="C17" s="1054">
        <v>2294072</v>
      </c>
      <c r="D17" s="1054">
        <v>2209576</v>
      </c>
      <c r="E17" s="1047" t="s">
        <v>58</v>
      </c>
      <c r="F17" s="1047" t="s">
        <v>58</v>
      </c>
      <c r="G17" s="1062" t="s">
        <v>58</v>
      </c>
      <c r="H17" s="1062" t="s">
        <v>58</v>
      </c>
      <c r="I17" s="1062" t="s">
        <v>58</v>
      </c>
      <c r="J17" s="1062" t="s">
        <v>58</v>
      </c>
      <c r="K17" s="1062" t="s">
        <v>58</v>
      </c>
      <c r="L17" s="1062" t="s">
        <v>58</v>
      </c>
    </row>
    <row r="18" spans="1:12" x14ac:dyDescent="0.2">
      <c r="A18" s="1051" t="s">
        <v>389</v>
      </c>
      <c r="B18" s="1054">
        <v>10065335</v>
      </c>
      <c r="C18" s="1054">
        <v>12501809</v>
      </c>
      <c r="D18" s="1054">
        <v>12919618</v>
      </c>
      <c r="E18" s="1054">
        <v>10730269</v>
      </c>
      <c r="F18" s="1054">
        <v>9489867</v>
      </c>
      <c r="G18" s="1058">
        <v>9404187</v>
      </c>
      <c r="H18" s="1058">
        <v>10110376</v>
      </c>
      <c r="I18" s="1058">
        <v>10142086</v>
      </c>
      <c r="J18" s="1058">
        <v>10413601</v>
      </c>
      <c r="K18" s="1058">
        <v>10651208</v>
      </c>
      <c r="L18" s="1058">
        <v>11099610</v>
      </c>
    </row>
    <row r="19" spans="1:12" x14ac:dyDescent="0.2">
      <c r="A19" s="1059" t="s">
        <v>382</v>
      </c>
      <c r="B19" s="1060">
        <v>10756132</v>
      </c>
      <c r="C19" s="1060">
        <v>12506939</v>
      </c>
      <c r="D19" s="1060">
        <v>11987526</v>
      </c>
      <c r="E19" s="1060">
        <v>6445183</v>
      </c>
      <c r="F19" s="1060">
        <v>2426754</v>
      </c>
      <c r="G19" s="1063">
        <v>8005346</v>
      </c>
      <c r="H19" s="1063">
        <v>8531851</v>
      </c>
      <c r="I19" s="1063">
        <v>8607521</v>
      </c>
      <c r="J19" s="1063">
        <v>8795589</v>
      </c>
      <c r="K19" s="1063">
        <v>8851324</v>
      </c>
      <c r="L19" s="1063">
        <v>9234372</v>
      </c>
    </row>
    <row r="20" spans="1:12" x14ac:dyDescent="0.2">
      <c r="A20" s="1051" t="s">
        <v>390</v>
      </c>
      <c r="B20" s="1052"/>
      <c r="C20" s="1052"/>
      <c r="D20" s="1052"/>
      <c r="E20" s="1052"/>
      <c r="F20" s="1052"/>
      <c r="G20" s="1064"/>
      <c r="H20" s="1064"/>
      <c r="I20" s="1064"/>
      <c r="J20" s="1064"/>
      <c r="K20" s="1064"/>
      <c r="L20" s="1064"/>
    </row>
    <row r="21" spans="1:12" x14ac:dyDescent="0.2">
      <c r="A21" s="1046" t="s">
        <v>391</v>
      </c>
      <c r="B21" s="1054">
        <v>291103</v>
      </c>
      <c r="C21" s="1054">
        <v>5768</v>
      </c>
      <c r="D21" s="1054">
        <v>485150</v>
      </c>
      <c r="E21" s="1054">
        <v>276122</v>
      </c>
      <c r="F21" s="1057">
        <v>146792</v>
      </c>
      <c r="G21" s="1062"/>
      <c r="H21" s="1062"/>
      <c r="I21" s="1062"/>
      <c r="J21" s="1062"/>
      <c r="K21" s="1062"/>
      <c r="L21" s="1062"/>
    </row>
    <row r="22" spans="1:12" x14ac:dyDescent="0.2">
      <c r="A22" s="1046" t="s">
        <v>392</v>
      </c>
      <c r="B22" s="1054">
        <v>-15546</v>
      </c>
      <c r="C22" s="1047">
        <v>0</v>
      </c>
      <c r="D22" s="1047">
        <v>0</v>
      </c>
      <c r="E22" s="1047">
        <v>0</v>
      </c>
      <c r="F22" s="1047">
        <v>0</v>
      </c>
      <c r="G22" s="1062">
        <v>0</v>
      </c>
      <c r="H22" s="1062">
        <v>0</v>
      </c>
      <c r="I22" s="1062">
        <v>0</v>
      </c>
      <c r="J22" s="1062">
        <v>0</v>
      </c>
      <c r="K22" s="1062">
        <v>0</v>
      </c>
      <c r="L22" s="1062">
        <v>0</v>
      </c>
    </row>
    <row r="23" spans="1:12" x14ac:dyDescent="0.2">
      <c r="A23" s="1051" t="s">
        <v>393</v>
      </c>
      <c r="B23" s="1065">
        <v>275557</v>
      </c>
      <c r="C23" s="1065">
        <v>5768</v>
      </c>
      <c r="D23" s="1065">
        <v>485150</v>
      </c>
      <c r="E23" s="1065">
        <v>276122</v>
      </c>
      <c r="F23" s="1065">
        <v>146792</v>
      </c>
      <c r="G23" s="1066">
        <v>0</v>
      </c>
      <c r="H23" s="1066">
        <v>0</v>
      </c>
      <c r="I23" s="1066">
        <v>0</v>
      </c>
      <c r="J23" s="1066">
        <v>0</v>
      </c>
      <c r="K23" s="1066">
        <v>0</v>
      </c>
      <c r="L23" s="1066">
        <v>0</v>
      </c>
    </row>
    <row r="24" spans="1:12" x14ac:dyDescent="0.2">
      <c r="A24" s="1059" t="s">
        <v>394</v>
      </c>
      <c r="B24" s="1060">
        <v>11031689</v>
      </c>
      <c r="C24" s="1060">
        <v>12512707</v>
      </c>
      <c r="D24" s="1060">
        <v>12472676</v>
      </c>
      <c r="E24" s="1060">
        <v>6721305</v>
      </c>
      <c r="F24" s="1060">
        <v>2573546</v>
      </c>
      <c r="G24" s="1067">
        <v>8005346</v>
      </c>
      <c r="H24" s="1067">
        <v>8531851</v>
      </c>
      <c r="I24" s="1067">
        <v>8607521</v>
      </c>
      <c r="J24" s="1067">
        <v>8795589</v>
      </c>
      <c r="K24" s="1067">
        <v>8851324</v>
      </c>
      <c r="L24" s="1067">
        <v>9234372</v>
      </c>
    </row>
    <row r="25" spans="1:12" x14ac:dyDescent="0.2">
      <c r="A25" s="1046"/>
      <c r="B25" s="1047"/>
      <c r="C25" s="1047"/>
      <c r="D25" s="1047"/>
      <c r="E25" s="1047"/>
      <c r="F25" s="1047"/>
      <c r="G25" s="1062"/>
      <c r="H25" s="1062"/>
      <c r="I25" s="1062"/>
      <c r="J25" s="1062"/>
      <c r="K25" s="1062"/>
      <c r="L25" s="1062"/>
    </row>
    <row r="26" spans="1:12" x14ac:dyDescent="0.2">
      <c r="A26" s="1046" t="s">
        <v>220</v>
      </c>
      <c r="B26" s="1047"/>
      <c r="C26" s="1047"/>
      <c r="D26" s="1047"/>
      <c r="E26" s="1047"/>
      <c r="F26" s="1047"/>
      <c r="G26" s="1062"/>
      <c r="H26" s="1062"/>
      <c r="I26" s="1062"/>
      <c r="J26" s="1062"/>
      <c r="K26" s="1062"/>
      <c r="L26" s="1062"/>
    </row>
    <row r="27" spans="1:12" x14ac:dyDescent="0.2">
      <c r="A27" s="1046" t="s">
        <v>371</v>
      </c>
      <c r="B27" s="1054">
        <v>3146265</v>
      </c>
      <c r="C27" s="1054">
        <v>3146265</v>
      </c>
      <c r="D27" s="1054">
        <v>3146265</v>
      </c>
      <c r="E27" s="1054">
        <v>3146265</v>
      </c>
      <c r="F27" s="1054">
        <v>3146265</v>
      </c>
      <c r="G27" s="1058">
        <v>3604477</v>
      </c>
      <c r="H27" s="1058">
        <v>3604477</v>
      </c>
      <c r="I27" s="1058">
        <v>3604477</v>
      </c>
      <c r="J27" s="1058">
        <v>3604477</v>
      </c>
      <c r="K27" s="1058">
        <v>3604477</v>
      </c>
      <c r="L27" s="1058">
        <v>3604477</v>
      </c>
    </row>
    <row r="28" spans="1:12" x14ac:dyDescent="0.2">
      <c r="A28" s="1046" t="s">
        <v>395</v>
      </c>
      <c r="B28" s="1054">
        <v>475118</v>
      </c>
      <c r="C28" s="1054">
        <v>218971</v>
      </c>
      <c r="D28" s="1054">
        <v>352272</v>
      </c>
      <c r="E28" s="1054">
        <v>-4193615</v>
      </c>
      <c r="F28" s="1054">
        <v>-8841106</v>
      </c>
      <c r="G28" s="1058">
        <v>-885072</v>
      </c>
      <c r="H28" s="1058">
        <v>-1241318</v>
      </c>
      <c r="I28" s="1058">
        <v>-869084</v>
      </c>
      <c r="J28" s="1058">
        <v>-441234</v>
      </c>
      <c r="K28" s="1058">
        <v>47497</v>
      </c>
      <c r="L28" s="1058">
        <v>731005</v>
      </c>
    </row>
    <row r="29" spans="1:12" x14ac:dyDescent="0.2">
      <c r="A29" s="1046" t="s">
        <v>373</v>
      </c>
      <c r="B29" s="1047">
        <v>-178</v>
      </c>
      <c r="C29" s="1047">
        <v>-178</v>
      </c>
      <c r="D29" s="1047">
        <v>-178</v>
      </c>
      <c r="E29" s="1047">
        <v>-178</v>
      </c>
      <c r="F29" s="1047">
        <v>-178</v>
      </c>
      <c r="G29" s="1062">
        <v>-178</v>
      </c>
      <c r="H29" s="1062">
        <v>-178</v>
      </c>
      <c r="I29" s="1062">
        <v>-178</v>
      </c>
      <c r="J29" s="1062">
        <v>-178</v>
      </c>
      <c r="K29" s="1062">
        <v>-178</v>
      </c>
      <c r="L29" s="1062">
        <v>-178</v>
      </c>
    </row>
    <row r="30" spans="1:12" x14ac:dyDescent="0.2">
      <c r="A30" s="1046" t="s">
        <v>374</v>
      </c>
      <c r="B30" s="1054">
        <v>554884</v>
      </c>
      <c r="C30" s="1054">
        <v>-4365</v>
      </c>
      <c r="D30" s="1054">
        <v>-367577</v>
      </c>
      <c r="E30" s="1054">
        <v>-1388185</v>
      </c>
      <c r="F30" s="1054">
        <v>-1361529</v>
      </c>
      <c r="G30" s="1058">
        <v>-367577</v>
      </c>
      <c r="H30" s="1058">
        <v>-367577</v>
      </c>
      <c r="I30" s="1058">
        <v>-367577</v>
      </c>
      <c r="J30" s="1058">
        <v>-367577</v>
      </c>
      <c r="K30" s="1058">
        <v>-367577</v>
      </c>
      <c r="L30" s="1058">
        <v>-367577</v>
      </c>
    </row>
    <row r="31" spans="1:12" x14ac:dyDescent="0.2">
      <c r="A31" s="1059" t="s">
        <v>396</v>
      </c>
      <c r="B31" s="1060">
        <v>4176089</v>
      </c>
      <c r="C31" s="1060">
        <v>3360693</v>
      </c>
      <c r="D31" s="1060">
        <v>3130782</v>
      </c>
      <c r="E31" s="1060">
        <v>-2435713</v>
      </c>
      <c r="F31" s="1060">
        <v>-7056548</v>
      </c>
      <c r="G31" s="1060">
        <v>2351650</v>
      </c>
      <c r="H31" s="1060">
        <v>1995403</v>
      </c>
      <c r="I31" s="1060">
        <v>2367637</v>
      </c>
      <c r="J31" s="1060">
        <v>2795488</v>
      </c>
      <c r="K31" s="1060">
        <v>3284219</v>
      </c>
      <c r="L31" s="1060">
        <v>3967727</v>
      </c>
    </row>
    <row r="32" spans="1:12" x14ac:dyDescent="0.2">
      <c r="A32" s="1046" t="s">
        <v>397</v>
      </c>
      <c r="B32" s="1054">
        <v>91147</v>
      </c>
      <c r="C32" s="1054">
        <v>79908</v>
      </c>
      <c r="D32" s="1054">
        <v>-1605</v>
      </c>
      <c r="E32" s="1054">
        <v>-6672</v>
      </c>
      <c r="F32" s="1054">
        <v>-10356</v>
      </c>
      <c r="G32" s="1058">
        <v>-53331</v>
      </c>
      <c r="H32" s="1058">
        <v>-70629</v>
      </c>
      <c r="I32" s="1058">
        <v>-52555</v>
      </c>
      <c r="J32" s="1058">
        <v>-31780</v>
      </c>
      <c r="K32" s="1058">
        <v>-8050</v>
      </c>
      <c r="L32" s="1058">
        <v>25138</v>
      </c>
    </row>
    <row r="33" spans="1:12" x14ac:dyDescent="0.2">
      <c r="A33" s="1059" t="s">
        <v>398</v>
      </c>
      <c r="B33" s="1060">
        <v>4267236</v>
      </c>
      <c r="C33" s="1060">
        <v>3440601</v>
      </c>
      <c r="D33" s="1060">
        <v>3129177</v>
      </c>
      <c r="E33" s="1060">
        <v>-2442385</v>
      </c>
      <c r="F33" s="1060">
        <v>-7066904</v>
      </c>
      <c r="G33" s="1060">
        <v>2298319</v>
      </c>
      <c r="H33" s="1060">
        <v>1924775</v>
      </c>
      <c r="I33" s="1060">
        <v>2315083</v>
      </c>
      <c r="J33" s="1060">
        <v>2763708</v>
      </c>
      <c r="K33" s="1060">
        <v>3276169</v>
      </c>
      <c r="L33" s="1060">
        <v>3992865</v>
      </c>
    </row>
    <row r="34" spans="1:12" x14ac:dyDescent="0.2">
      <c r="A34" s="1046"/>
      <c r="B34" s="1047"/>
      <c r="C34" s="1047"/>
      <c r="D34" s="1047"/>
      <c r="E34" s="1047"/>
      <c r="F34" s="1047"/>
      <c r="G34" s="1062"/>
      <c r="H34" s="1062"/>
      <c r="I34" s="1062"/>
      <c r="J34" s="1062"/>
      <c r="K34" s="1062"/>
      <c r="L34" s="1062"/>
    </row>
    <row r="35" spans="1:12" x14ac:dyDescent="0.2">
      <c r="A35" s="1046" t="s">
        <v>399</v>
      </c>
      <c r="B35" s="1047"/>
      <c r="C35" s="1047"/>
      <c r="D35" s="1047"/>
      <c r="E35" s="1047"/>
      <c r="F35" s="1047"/>
      <c r="G35" s="1062"/>
      <c r="H35" s="1062"/>
      <c r="I35" s="1062"/>
      <c r="J35" s="1062"/>
      <c r="K35" s="1062"/>
      <c r="L35" s="1062"/>
    </row>
    <row r="36" spans="1:12" x14ac:dyDescent="0.2">
      <c r="A36" s="1046" t="s">
        <v>400</v>
      </c>
      <c r="B36" s="1054">
        <v>7906457</v>
      </c>
      <c r="C36" s="1054">
        <v>10153748</v>
      </c>
      <c r="D36" s="1054">
        <v>10416078</v>
      </c>
      <c r="E36" s="1054">
        <v>10859531</v>
      </c>
      <c r="F36" s="1054">
        <v>10402153</v>
      </c>
      <c r="G36" s="1058">
        <v>6886203</v>
      </c>
      <c r="H36" s="1058">
        <v>7904006</v>
      </c>
      <c r="I36" s="1058">
        <v>7716542</v>
      </c>
      <c r="J36" s="1058">
        <v>7694829</v>
      </c>
      <c r="K36" s="1058">
        <v>10192106</v>
      </c>
      <c r="L36" s="1058">
        <v>14215981</v>
      </c>
    </row>
    <row r="37" spans="1:12" x14ac:dyDescent="0.2">
      <c r="A37" s="1046" t="s">
        <v>401</v>
      </c>
      <c r="B37" s="1054">
        <v>-1142004</v>
      </c>
      <c r="C37" s="1054">
        <v>-1081642</v>
      </c>
      <c r="D37" s="1054">
        <v>-1072579</v>
      </c>
      <c r="E37" s="1054">
        <v>-1695841</v>
      </c>
      <c r="F37" s="1054">
        <v>-1046835</v>
      </c>
      <c r="G37" s="1058">
        <v>-1224223</v>
      </c>
      <c r="H37" s="1058">
        <v>-1483404</v>
      </c>
      <c r="I37" s="1058">
        <v>-1531955</v>
      </c>
      <c r="J37" s="1058">
        <v>-2052657</v>
      </c>
      <c r="K37" s="1058">
        <v>-6457919</v>
      </c>
      <c r="L37" s="1058">
        <v>-597109</v>
      </c>
    </row>
    <row r="38" spans="1:12" x14ac:dyDescent="0.2">
      <c r="A38" s="1068" t="s">
        <v>402</v>
      </c>
      <c r="B38" s="1065">
        <v>6764453</v>
      </c>
      <c r="C38" s="1065">
        <v>9072106</v>
      </c>
      <c r="D38" s="1065">
        <v>9343499</v>
      </c>
      <c r="E38" s="1065">
        <v>9163690</v>
      </c>
      <c r="F38" s="1065">
        <v>9355318</v>
      </c>
      <c r="G38" s="1069">
        <v>5661980</v>
      </c>
      <c r="H38" s="1069">
        <v>6420602</v>
      </c>
      <c r="I38" s="1069">
        <v>6184587</v>
      </c>
      <c r="J38" s="1069">
        <v>5642171</v>
      </c>
      <c r="K38" s="1069">
        <v>3734187</v>
      </c>
      <c r="L38" s="1069">
        <v>13618872</v>
      </c>
    </row>
    <row r="39" spans="1:12" x14ac:dyDescent="0.2">
      <c r="A39" s="1046" t="s">
        <v>403</v>
      </c>
      <c r="B39" s="1054">
        <v>11031689</v>
      </c>
      <c r="C39" s="1054">
        <v>12512707</v>
      </c>
      <c r="D39" s="1054">
        <v>12472676</v>
      </c>
      <c r="E39" s="1054">
        <v>6721305</v>
      </c>
      <c r="F39" s="1054">
        <v>2288414</v>
      </c>
      <c r="G39" s="1058">
        <v>7960298</v>
      </c>
      <c r="H39" s="1058">
        <v>8345377</v>
      </c>
      <c r="I39" s="1058">
        <v>8499669</v>
      </c>
      <c r="J39" s="1058">
        <v>8405879</v>
      </c>
      <c r="K39" s="1058">
        <v>7010356</v>
      </c>
      <c r="L39" s="1058">
        <v>17611737</v>
      </c>
    </row>
    <row r="40" spans="1:12" ht="16" x14ac:dyDescent="0.2">
      <c r="A40" s="1070"/>
      <c r="B40" s="1047"/>
      <c r="C40" s="1047"/>
      <c r="D40" s="1047"/>
      <c r="E40" s="1047"/>
      <c r="F40" s="1047"/>
      <c r="G40" s="1058">
        <v>45047</v>
      </c>
      <c r="H40" s="1058">
        <v>186474</v>
      </c>
      <c r="I40" s="1058">
        <v>107852</v>
      </c>
      <c r="J40" s="1058">
        <v>389710</v>
      </c>
      <c r="K40" s="1058">
        <v>1840968</v>
      </c>
      <c r="L40" s="1058">
        <v>-8377365</v>
      </c>
    </row>
    <row r="41" spans="1:12" ht="16" x14ac:dyDescent="0.2">
      <c r="A41" s="1070"/>
      <c r="B41" s="1047"/>
      <c r="C41" s="1047"/>
      <c r="D41" s="1047"/>
      <c r="E41" s="1047"/>
      <c r="F41" s="1047"/>
      <c r="G41" s="1071">
        <v>-45047</v>
      </c>
      <c r="H41" s="1071">
        <v>-186474</v>
      </c>
      <c r="I41" s="1071">
        <v>-107852</v>
      </c>
      <c r="J41" s="1071">
        <v>-389710</v>
      </c>
      <c r="K41" s="1071">
        <v>-1840968</v>
      </c>
      <c r="L41" s="1071">
        <v>8377365</v>
      </c>
    </row>
    <row r="42" spans="1:12" ht="16" x14ac:dyDescent="0.2">
      <c r="A42" s="1070"/>
      <c r="B42" s="1047"/>
      <c r="C42" s="1047"/>
      <c r="D42" s="1047"/>
      <c r="E42" s="1047"/>
      <c r="F42" s="1047"/>
      <c r="G42" s="1072">
        <v>-5.6270000000000001E-3</v>
      </c>
      <c r="H42" s="1072">
        <v>-2.1856E-2</v>
      </c>
      <c r="I42" s="1072">
        <v>-1.2529999999999999E-2</v>
      </c>
      <c r="J42" s="1072">
        <v>-4.4306999999999999E-2</v>
      </c>
      <c r="K42" s="1072">
        <v>-0.20798800000000001</v>
      </c>
      <c r="L42" s="1072">
        <v>0.90719399999999994</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1B1FB-7EB4-471C-B527-4A2043D902BD}">
  <sheetPr>
    <tabColor theme="5" tint="0.39997558519241921"/>
  </sheetPr>
  <dimension ref="A1:N21"/>
  <sheetViews>
    <sheetView topLeftCell="A5" zoomScale="50" zoomScaleNormal="50" workbookViewId="0">
      <selection activeCell="E54" sqref="E54:H54"/>
    </sheetView>
  </sheetViews>
  <sheetFormatPr baseColWidth="10" defaultColWidth="8.83203125" defaultRowHeight="15" x14ac:dyDescent="0.2"/>
  <cols>
    <col min="1" max="1" width="47.83203125" style="968" customWidth="1"/>
    <col min="2" max="7" width="14.1640625" style="1012" customWidth="1"/>
    <col min="8" max="8" width="37.83203125" style="968" bestFit="1" customWidth="1"/>
    <col min="9" max="14" width="14.1640625" style="968" customWidth="1"/>
    <col min="15" max="16384" width="8.83203125" style="968"/>
  </cols>
  <sheetData>
    <row r="1" spans="1:14" ht="19" x14ac:dyDescent="0.25">
      <c r="B1" s="1073">
        <v>2022</v>
      </c>
      <c r="C1" s="1073">
        <v>2023</v>
      </c>
      <c r="D1" s="1073">
        <v>2024</v>
      </c>
      <c r="E1" s="1073">
        <v>2025</v>
      </c>
      <c r="F1" s="1073">
        <v>2026</v>
      </c>
      <c r="G1" s="1073">
        <v>2027</v>
      </c>
      <c r="I1" s="1073">
        <v>2022</v>
      </c>
      <c r="J1" s="1073">
        <v>2023</v>
      </c>
      <c r="K1" s="1073">
        <v>2024</v>
      </c>
      <c r="L1" s="1073">
        <v>2025</v>
      </c>
      <c r="M1" s="1073">
        <v>2026</v>
      </c>
      <c r="N1" s="1073">
        <v>2027</v>
      </c>
    </row>
    <row r="2" spans="1:14" ht="14.5" customHeight="1" x14ac:dyDescent="0.2">
      <c r="B2" s="1243" t="s">
        <v>1668</v>
      </c>
      <c r="C2" s="1243"/>
      <c r="D2" s="1243"/>
      <c r="E2" s="1243"/>
      <c r="F2" s="1243"/>
      <c r="G2" s="1243"/>
      <c r="I2" s="1243" t="s">
        <v>1668</v>
      </c>
      <c r="J2" s="1243"/>
      <c r="K2" s="1243"/>
      <c r="L2" s="1243"/>
      <c r="M2" s="1243"/>
      <c r="N2" s="1243"/>
    </row>
    <row r="3" spans="1:14" ht="19" x14ac:dyDescent="0.25">
      <c r="A3" s="1074" t="s">
        <v>381</v>
      </c>
      <c r="H3" s="1074" t="s">
        <v>381</v>
      </c>
      <c r="I3" s="1075"/>
      <c r="J3" s="1075"/>
      <c r="K3" s="1075"/>
      <c r="L3" s="1075"/>
      <c r="M3" s="1075"/>
      <c r="N3" s="1075"/>
    </row>
    <row r="4" spans="1:14" s="970" customFormat="1" ht="19" x14ac:dyDescent="0.25">
      <c r="A4" s="1076" t="s">
        <v>387</v>
      </c>
      <c r="B4" s="1075">
        <v>-2417606</v>
      </c>
      <c r="C4" s="1075">
        <v>-2597290</v>
      </c>
      <c r="D4" s="1075">
        <v>-2553330</v>
      </c>
      <c r="E4" s="1075">
        <v>-2636776</v>
      </c>
      <c r="F4" s="1075">
        <v>-2818649</v>
      </c>
      <c r="G4" s="1075">
        <v>-2884003</v>
      </c>
      <c r="H4" s="1077" t="s">
        <v>387</v>
      </c>
      <c r="I4" s="1075">
        <f>IF(B4="","",B4/100)</f>
        <v>-24176.06</v>
      </c>
      <c r="J4" s="1075">
        <f t="shared" ref="J4:N19" si="0">IF(C4="","",C4/100)</f>
        <v>-25972.9</v>
      </c>
      <c r="K4" s="1075">
        <f t="shared" si="0"/>
        <v>-25533.3</v>
      </c>
      <c r="L4" s="1075">
        <f t="shared" si="0"/>
        <v>-26367.759999999998</v>
      </c>
      <c r="M4" s="1075">
        <f t="shared" si="0"/>
        <v>-28186.49</v>
      </c>
      <c r="N4" s="1075">
        <f t="shared" si="0"/>
        <v>-28840.03</v>
      </c>
    </row>
    <row r="5" spans="1:14" ht="19" x14ac:dyDescent="0.25">
      <c r="A5" s="1077" t="s">
        <v>1669</v>
      </c>
      <c r="B5" s="1075">
        <v>9404187</v>
      </c>
      <c r="C5" s="1075">
        <v>10110376</v>
      </c>
      <c r="D5" s="1075">
        <v>10142086</v>
      </c>
      <c r="E5" s="1075">
        <v>10413601</v>
      </c>
      <c r="F5" s="1075">
        <v>10651208</v>
      </c>
      <c r="G5" s="1075">
        <v>11099610</v>
      </c>
      <c r="H5" s="1077" t="s">
        <v>1669</v>
      </c>
      <c r="I5" s="1075">
        <f t="shared" ref="I5:N21" si="1">IF(B5="","",B5/100)</f>
        <v>94041.87</v>
      </c>
      <c r="J5" s="1075">
        <f t="shared" si="0"/>
        <v>101103.76</v>
      </c>
      <c r="K5" s="1075">
        <f t="shared" si="0"/>
        <v>101420.86</v>
      </c>
      <c r="L5" s="1075">
        <f t="shared" si="0"/>
        <v>104136.01</v>
      </c>
      <c r="M5" s="1075">
        <f t="shared" si="0"/>
        <v>106512.08</v>
      </c>
      <c r="N5" s="1075">
        <f t="shared" si="0"/>
        <v>110996.1</v>
      </c>
    </row>
    <row r="6" spans="1:14" ht="20" thickBot="1" x14ac:dyDescent="0.3">
      <c r="A6" s="1077" t="s">
        <v>1670</v>
      </c>
      <c r="B6" s="1075">
        <v>1018765</v>
      </c>
      <c r="C6" s="1075">
        <v>1018765</v>
      </c>
      <c r="D6" s="1075">
        <v>1018765</v>
      </c>
      <c r="E6" s="1075">
        <v>1018765</v>
      </c>
      <c r="F6" s="1075">
        <v>1018765</v>
      </c>
      <c r="G6" s="1075">
        <v>1018765</v>
      </c>
      <c r="H6" s="1078" t="s">
        <v>1670</v>
      </c>
      <c r="I6" s="1079">
        <f t="shared" si="1"/>
        <v>10187.65</v>
      </c>
      <c r="J6" s="1079">
        <f t="shared" si="0"/>
        <v>10187.65</v>
      </c>
      <c r="K6" s="1079">
        <f t="shared" si="0"/>
        <v>10187.65</v>
      </c>
      <c r="L6" s="1079">
        <f t="shared" si="0"/>
        <v>10187.65</v>
      </c>
      <c r="M6" s="1079">
        <f t="shared" si="0"/>
        <v>10187.65</v>
      </c>
      <c r="N6" s="1079">
        <f t="shared" si="0"/>
        <v>10187.65</v>
      </c>
    </row>
    <row r="7" spans="1:14" ht="19" x14ac:dyDescent="0.25">
      <c r="A7" s="1077" t="s">
        <v>382</v>
      </c>
      <c r="B7" s="1075">
        <v>8005346</v>
      </c>
      <c r="C7" s="1075">
        <v>8531851</v>
      </c>
      <c r="D7" s="1075">
        <v>8607521</v>
      </c>
      <c r="E7" s="1075">
        <v>8795590</v>
      </c>
      <c r="F7" s="1075">
        <v>8851324</v>
      </c>
      <c r="G7" s="1075">
        <v>9234372</v>
      </c>
      <c r="H7" s="1076" t="s">
        <v>382</v>
      </c>
      <c r="I7" s="1080">
        <f t="shared" si="1"/>
        <v>80053.460000000006</v>
      </c>
      <c r="J7" s="1080">
        <f t="shared" si="0"/>
        <v>85318.51</v>
      </c>
      <c r="K7" s="1080">
        <f t="shared" si="0"/>
        <v>86075.21</v>
      </c>
      <c r="L7" s="1080">
        <f t="shared" si="0"/>
        <v>87955.9</v>
      </c>
      <c r="M7" s="1080">
        <f t="shared" si="0"/>
        <v>88513.24</v>
      </c>
      <c r="N7" s="1080">
        <f t="shared" si="0"/>
        <v>92343.72</v>
      </c>
    </row>
    <row r="8" spans="1:14" ht="19" x14ac:dyDescent="0.25">
      <c r="A8" s="1077"/>
      <c r="B8" s="1075"/>
      <c r="C8" s="1075"/>
      <c r="D8" s="1075"/>
      <c r="E8" s="1075"/>
      <c r="F8" s="1075"/>
      <c r="G8" s="1075"/>
      <c r="H8" s="1077"/>
      <c r="I8" s="1075" t="str">
        <f t="shared" si="1"/>
        <v/>
      </c>
      <c r="J8" s="1075" t="str">
        <f t="shared" si="0"/>
        <v/>
      </c>
      <c r="K8" s="1075" t="str">
        <f t="shared" si="0"/>
        <v/>
      </c>
      <c r="L8" s="1075" t="str">
        <f t="shared" si="0"/>
        <v/>
      </c>
      <c r="M8" s="1075" t="str">
        <f t="shared" si="0"/>
        <v/>
      </c>
      <c r="N8" s="1075" t="str">
        <f t="shared" si="0"/>
        <v/>
      </c>
    </row>
    <row r="9" spans="1:14" ht="20" thickBot="1" x14ac:dyDescent="0.3">
      <c r="A9" s="1076" t="s">
        <v>390</v>
      </c>
      <c r="B9" s="1075">
        <v>0</v>
      </c>
      <c r="C9" s="1075">
        <v>0</v>
      </c>
      <c r="D9" s="1075">
        <v>0</v>
      </c>
      <c r="E9" s="1075">
        <v>0</v>
      </c>
      <c r="F9" s="1075">
        <v>0</v>
      </c>
      <c r="G9" s="1075">
        <v>0</v>
      </c>
      <c r="H9" s="1081" t="s">
        <v>390</v>
      </c>
      <c r="I9" s="1079">
        <f t="shared" si="1"/>
        <v>0</v>
      </c>
      <c r="J9" s="1079">
        <f t="shared" si="0"/>
        <v>0</v>
      </c>
      <c r="K9" s="1079">
        <f t="shared" si="0"/>
        <v>0</v>
      </c>
      <c r="L9" s="1079">
        <f t="shared" si="0"/>
        <v>0</v>
      </c>
      <c r="M9" s="1079">
        <f t="shared" si="0"/>
        <v>0</v>
      </c>
      <c r="N9" s="1079">
        <f t="shared" si="0"/>
        <v>0</v>
      </c>
    </row>
    <row r="10" spans="1:14" ht="19" x14ac:dyDescent="0.25">
      <c r="A10" s="1077" t="s">
        <v>1671</v>
      </c>
      <c r="B10" s="1075">
        <f>B7+B9</f>
        <v>8005346</v>
      </c>
      <c r="C10" s="1075">
        <f t="shared" ref="C10:G10" si="2">C7+C9</f>
        <v>8531851</v>
      </c>
      <c r="D10" s="1075">
        <f t="shared" si="2"/>
        <v>8607521</v>
      </c>
      <c r="E10" s="1075">
        <f t="shared" si="2"/>
        <v>8795590</v>
      </c>
      <c r="F10" s="1075">
        <f t="shared" si="2"/>
        <v>8851324</v>
      </c>
      <c r="G10" s="1075">
        <f t="shared" si="2"/>
        <v>9234372</v>
      </c>
      <c r="H10" s="1076" t="s">
        <v>1671</v>
      </c>
      <c r="I10" s="1080">
        <f t="shared" si="1"/>
        <v>80053.460000000006</v>
      </c>
      <c r="J10" s="1080">
        <f t="shared" si="0"/>
        <v>85318.51</v>
      </c>
      <c r="K10" s="1080">
        <f t="shared" si="0"/>
        <v>86075.21</v>
      </c>
      <c r="L10" s="1080">
        <f t="shared" si="0"/>
        <v>87955.9</v>
      </c>
      <c r="M10" s="1080">
        <f t="shared" si="0"/>
        <v>88513.24</v>
      </c>
      <c r="N10" s="1080">
        <f t="shared" si="0"/>
        <v>92343.72</v>
      </c>
    </row>
    <row r="11" spans="1:14" ht="19" x14ac:dyDescent="0.25">
      <c r="A11" s="1077"/>
      <c r="B11" s="1075"/>
      <c r="C11" s="1075"/>
      <c r="D11" s="1075"/>
      <c r="E11" s="1075"/>
      <c r="F11" s="1075"/>
      <c r="G11" s="1075"/>
      <c r="H11" s="1077"/>
      <c r="I11" s="1075" t="str">
        <f t="shared" si="1"/>
        <v/>
      </c>
      <c r="J11" s="1075" t="str">
        <f t="shared" si="0"/>
        <v/>
      </c>
      <c r="K11" s="1075" t="str">
        <f t="shared" si="0"/>
        <v/>
      </c>
      <c r="L11" s="1075" t="str">
        <f t="shared" si="0"/>
        <v/>
      </c>
      <c r="M11" s="1075" t="str">
        <f t="shared" si="0"/>
        <v/>
      </c>
      <c r="N11" s="1075" t="str">
        <f t="shared" si="0"/>
        <v/>
      </c>
    </row>
    <row r="12" spans="1:14" ht="19" x14ac:dyDescent="0.25">
      <c r="A12" s="1077" t="s">
        <v>220</v>
      </c>
      <c r="B12" s="1075"/>
      <c r="C12" s="1075"/>
      <c r="D12" s="1075"/>
      <c r="E12" s="1075"/>
      <c r="F12" s="1075"/>
      <c r="G12" s="1075"/>
      <c r="H12" s="1076" t="s">
        <v>220</v>
      </c>
      <c r="I12" s="1075" t="str">
        <f t="shared" si="1"/>
        <v/>
      </c>
      <c r="J12" s="1075" t="str">
        <f t="shared" si="0"/>
        <v/>
      </c>
      <c r="K12" s="1075" t="str">
        <f t="shared" si="0"/>
        <v/>
      </c>
      <c r="L12" s="1075" t="str">
        <f t="shared" si="0"/>
        <v/>
      </c>
      <c r="M12" s="1075" t="str">
        <f t="shared" si="0"/>
        <v/>
      </c>
      <c r="N12" s="1075" t="str">
        <f t="shared" si="0"/>
        <v/>
      </c>
    </row>
    <row r="13" spans="1:14" ht="19" x14ac:dyDescent="0.25">
      <c r="A13" s="1077" t="s">
        <v>396</v>
      </c>
      <c r="B13" s="1075">
        <v>4176089</v>
      </c>
      <c r="C13" s="1075">
        <v>3360693</v>
      </c>
      <c r="D13" s="1075">
        <v>3130782</v>
      </c>
      <c r="E13" s="1075">
        <v>-2435713</v>
      </c>
      <c r="F13" s="1075">
        <v>-7056548</v>
      </c>
      <c r="G13" s="1075">
        <v>2351650</v>
      </c>
      <c r="H13" s="1076" t="s">
        <v>396</v>
      </c>
      <c r="I13" s="1080">
        <f t="shared" si="1"/>
        <v>41760.89</v>
      </c>
      <c r="J13" s="1080">
        <f t="shared" si="0"/>
        <v>33606.93</v>
      </c>
      <c r="K13" s="1080">
        <f t="shared" si="0"/>
        <v>31307.82</v>
      </c>
      <c r="L13" s="1080">
        <f t="shared" si="0"/>
        <v>-24357.13</v>
      </c>
      <c r="M13" s="1080">
        <f t="shared" si="0"/>
        <v>-70565.48</v>
      </c>
      <c r="N13" s="1080">
        <f t="shared" si="0"/>
        <v>23516.5</v>
      </c>
    </row>
    <row r="14" spans="1:14" ht="20" thickBot="1" x14ac:dyDescent="0.3">
      <c r="A14" s="1077" t="s">
        <v>397</v>
      </c>
      <c r="B14" s="1075">
        <v>91147</v>
      </c>
      <c r="C14" s="1075">
        <v>79908</v>
      </c>
      <c r="D14" s="1075">
        <v>-1605</v>
      </c>
      <c r="E14" s="1075">
        <v>-6672</v>
      </c>
      <c r="F14" s="1075">
        <v>-10356</v>
      </c>
      <c r="G14" s="1075">
        <v>-53331</v>
      </c>
      <c r="H14" s="1081" t="s">
        <v>397</v>
      </c>
      <c r="I14" s="1082">
        <f t="shared" si="1"/>
        <v>911.47</v>
      </c>
      <c r="J14" s="1082">
        <f t="shared" si="0"/>
        <v>799.08</v>
      </c>
      <c r="K14" s="1082">
        <f t="shared" si="0"/>
        <v>-16.05</v>
      </c>
      <c r="L14" s="1082">
        <f t="shared" si="0"/>
        <v>-66.72</v>
      </c>
      <c r="M14" s="1082">
        <f t="shared" si="0"/>
        <v>-103.56</v>
      </c>
      <c r="N14" s="1082">
        <f t="shared" si="0"/>
        <v>-533.30999999999995</v>
      </c>
    </row>
    <row r="15" spans="1:14" ht="19" x14ac:dyDescent="0.25">
      <c r="A15" s="1077" t="s">
        <v>1672</v>
      </c>
      <c r="B15" s="1075">
        <v>4267236</v>
      </c>
      <c r="C15" s="1075">
        <v>3440601</v>
      </c>
      <c r="D15" s="1075">
        <v>3129177</v>
      </c>
      <c r="E15" s="1075">
        <v>-2442385</v>
      </c>
      <c r="F15" s="1075">
        <v>-7066904</v>
      </c>
      <c r="G15" s="1075">
        <v>2298319</v>
      </c>
      <c r="H15" s="1077" t="s">
        <v>1672</v>
      </c>
      <c r="I15" s="1075">
        <f t="shared" si="1"/>
        <v>42672.36</v>
      </c>
      <c r="J15" s="1075">
        <f t="shared" si="0"/>
        <v>34406.01</v>
      </c>
      <c r="K15" s="1075">
        <f t="shared" si="0"/>
        <v>31291.77</v>
      </c>
      <c r="L15" s="1075">
        <f t="shared" si="0"/>
        <v>-24423.85</v>
      </c>
      <c r="M15" s="1075">
        <f t="shared" si="0"/>
        <v>-70669.039999999994</v>
      </c>
      <c r="N15" s="1075">
        <f t="shared" si="0"/>
        <v>22983.19</v>
      </c>
    </row>
    <row r="16" spans="1:14" ht="19" x14ac:dyDescent="0.25">
      <c r="A16" s="1077"/>
      <c r="B16" s="1075"/>
      <c r="C16" s="1075"/>
      <c r="D16" s="1075"/>
      <c r="E16" s="1075"/>
      <c r="F16" s="1075"/>
      <c r="G16" s="1075"/>
      <c r="H16" s="1077"/>
      <c r="I16" s="1075" t="str">
        <f t="shared" si="1"/>
        <v/>
      </c>
      <c r="J16" s="1075" t="str">
        <f t="shared" si="0"/>
        <v/>
      </c>
      <c r="K16" s="1075" t="str">
        <f t="shared" si="0"/>
        <v/>
      </c>
      <c r="L16" s="1075" t="str">
        <f t="shared" si="0"/>
        <v/>
      </c>
      <c r="M16" s="1075" t="str">
        <f t="shared" si="0"/>
        <v/>
      </c>
      <c r="N16" s="1075" t="str">
        <f t="shared" si="0"/>
        <v/>
      </c>
    </row>
    <row r="17" spans="1:14" ht="19" x14ac:dyDescent="0.25">
      <c r="A17" s="1077" t="s">
        <v>399</v>
      </c>
      <c r="B17" s="1075"/>
      <c r="C17" s="1075"/>
      <c r="D17" s="1075"/>
      <c r="E17" s="1075"/>
      <c r="F17" s="1075"/>
      <c r="G17" s="1075"/>
      <c r="H17" s="1076" t="s">
        <v>399</v>
      </c>
      <c r="I17" s="1075" t="str">
        <f t="shared" si="1"/>
        <v/>
      </c>
      <c r="J17" s="1075" t="str">
        <f t="shared" si="0"/>
        <v/>
      </c>
      <c r="K17" s="1075" t="str">
        <f t="shared" si="0"/>
        <v/>
      </c>
      <c r="L17" s="1075" t="str">
        <f t="shared" si="0"/>
        <v/>
      </c>
      <c r="M17" s="1075" t="str">
        <f t="shared" si="0"/>
        <v/>
      </c>
      <c r="N17" s="1075" t="str">
        <f t="shared" si="0"/>
        <v/>
      </c>
    </row>
    <row r="18" spans="1:14" ht="19" x14ac:dyDescent="0.25">
      <c r="A18" s="1077" t="s">
        <v>400</v>
      </c>
      <c r="B18" s="1075">
        <v>6886203</v>
      </c>
      <c r="C18" s="1075">
        <v>7904006</v>
      </c>
      <c r="D18" s="1075">
        <v>7716542</v>
      </c>
      <c r="E18" s="1075">
        <v>7694829</v>
      </c>
      <c r="F18" s="1075">
        <v>10192106</v>
      </c>
      <c r="G18" s="1075">
        <v>14215981</v>
      </c>
      <c r="H18" s="1077" t="s">
        <v>400</v>
      </c>
      <c r="I18" s="1075">
        <f t="shared" si="1"/>
        <v>68862.03</v>
      </c>
      <c r="J18" s="1075">
        <f t="shared" si="0"/>
        <v>79040.06</v>
      </c>
      <c r="K18" s="1075">
        <f t="shared" si="0"/>
        <v>77165.42</v>
      </c>
      <c r="L18" s="1075">
        <f t="shared" si="0"/>
        <v>76948.289999999994</v>
      </c>
      <c r="M18" s="1075">
        <f t="shared" si="0"/>
        <v>101921.06</v>
      </c>
      <c r="N18" s="1075">
        <f t="shared" si="0"/>
        <v>142159.81</v>
      </c>
    </row>
    <row r="19" spans="1:14" ht="20" thickBot="1" x14ac:dyDescent="0.3">
      <c r="A19" s="1077" t="s">
        <v>401</v>
      </c>
      <c r="B19" s="1075">
        <v>-1224223</v>
      </c>
      <c r="C19" s="1075">
        <v>-1483404</v>
      </c>
      <c r="D19" s="1075">
        <v>-1531955</v>
      </c>
      <c r="E19" s="1075">
        <v>-2052657</v>
      </c>
      <c r="F19" s="1075">
        <v>-6457919</v>
      </c>
      <c r="G19" s="1075">
        <v>-597109</v>
      </c>
      <c r="H19" s="1078" t="s">
        <v>401</v>
      </c>
      <c r="I19" s="1079">
        <f t="shared" si="1"/>
        <v>-12242.23</v>
      </c>
      <c r="J19" s="1079">
        <f t="shared" si="0"/>
        <v>-14834.04</v>
      </c>
      <c r="K19" s="1079">
        <f t="shared" si="0"/>
        <v>-15319.55</v>
      </c>
      <c r="L19" s="1079">
        <f t="shared" si="0"/>
        <v>-20526.57</v>
      </c>
      <c r="M19" s="1079">
        <f t="shared" si="0"/>
        <v>-64579.19</v>
      </c>
      <c r="N19" s="1079">
        <f t="shared" si="0"/>
        <v>-5971.09</v>
      </c>
    </row>
    <row r="20" spans="1:14" ht="20" thickBot="1" x14ac:dyDescent="0.3">
      <c r="A20" s="1077" t="s">
        <v>402</v>
      </c>
      <c r="B20" s="1075">
        <v>5661980</v>
      </c>
      <c r="C20" s="1075">
        <v>6420602</v>
      </c>
      <c r="D20" s="1075">
        <v>6184587</v>
      </c>
      <c r="E20" s="1075">
        <v>5642171</v>
      </c>
      <c r="F20" s="1075">
        <v>3734187</v>
      </c>
      <c r="G20" s="1075">
        <v>13618872</v>
      </c>
      <c r="H20" s="1081" t="s">
        <v>402</v>
      </c>
      <c r="I20" s="1083">
        <f t="shared" si="1"/>
        <v>56619.8</v>
      </c>
      <c r="J20" s="1083">
        <f t="shared" si="1"/>
        <v>64206.02</v>
      </c>
      <c r="K20" s="1083">
        <f t="shared" si="1"/>
        <v>61845.87</v>
      </c>
      <c r="L20" s="1083">
        <f t="shared" si="1"/>
        <v>56421.71</v>
      </c>
      <c r="M20" s="1083">
        <f t="shared" si="1"/>
        <v>37341.870000000003</v>
      </c>
      <c r="N20" s="1083">
        <f t="shared" si="1"/>
        <v>136188.72</v>
      </c>
    </row>
    <row r="21" spans="1:14" ht="19" x14ac:dyDescent="0.25">
      <c r="A21" s="1077" t="s">
        <v>403</v>
      </c>
      <c r="B21" s="1075">
        <v>7960298</v>
      </c>
      <c r="C21" s="1075">
        <v>8345377</v>
      </c>
      <c r="D21" s="1075">
        <v>8499669</v>
      </c>
      <c r="E21" s="1075">
        <v>8405879</v>
      </c>
      <c r="F21" s="1075">
        <v>7010356</v>
      </c>
      <c r="G21" s="1075">
        <v>17611737</v>
      </c>
      <c r="H21" s="1076" t="s">
        <v>403</v>
      </c>
      <c r="I21" s="1080">
        <f t="shared" si="1"/>
        <v>79602.98</v>
      </c>
      <c r="J21" s="1080">
        <f t="shared" si="1"/>
        <v>83453.77</v>
      </c>
      <c r="K21" s="1080">
        <f t="shared" si="1"/>
        <v>84996.69</v>
      </c>
      <c r="L21" s="1080">
        <f t="shared" si="1"/>
        <v>84058.79</v>
      </c>
      <c r="M21" s="1080">
        <f t="shared" si="1"/>
        <v>70103.56</v>
      </c>
      <c r="N21" s="1080">
        <f t="shared" si="1"/>
        <v>176117.37</v>
      </c>
    </row>
  </sheetData>
  <mergeCells count="2">
    <mergeCell ref="B2:G2"/>
    <mergeCell ref="I2:N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Fogli di lavoro</vt:lpstr>
      </vt:variant>
      <vt:variant>
        <vt:i4>41</vt:i4>
      </vt:variant>
    </vt:vector>
  </HeadingPairs>
  <TitlesOfParts>
    <vt:vector size="41" baseType="lpstr">
      <vt:lpstr>Forecast Drivers</vt:lpstr>
      <vt:lpstr>Pro_Forma IS</vt:lpstr>
      <vt:lpstr>Pro_Forma BS</vt:lpstr>
      <vt:lpstr>Cash Flow</vt:lpstr>
      <vt:lpstr>Real GDP Brazil</vt:lpstr>
      <vt:lpstr>Regression_Brazil </vt:lpstr>
      <vt:lpstr>Domestic, Brazil estimate</vt:lpstr>
      <vt:lpstr>Bra_Mkt_Sh</vt:lpstr>
      <vt:lpstr>SSC_regression</vt:lpstr>
      <vt:lpstr>SSC estimate</vt:lpstr>
      <vt:lpstr>SSC_Mkt_Sh</vt:lpstr>
      <vt:lpstr>Int_Mkt_Sh</vt:lpstr>
      <vt:lpstr>A1-jet Fuel</vt:lpstr>
      <vt:lpstr>Futures_provvisorio</vt:lpstr>
      <vt:lpstr>Drivers Cargo</vt:lpstr>
      <vt:lpstr>Cargo_Graph</vt:lpstr>
      <vt:lpstr>Cargo</vt:lpstr>
      <vt:lpstr>Fleet</vt:lpstr>
      <vt:lpstr>Cap_Inc</vt:lpstr>
      <vt:lpstr>Sch_Deb</vt:lpstr>
      <vt:lpstr>CAPEX</vt:lpstr>
      <vt:lpstr>CAPEX (2)</vt:lpstr>
      <vt:lpstr>Working Cap</vt:lpstr>
      <vt:lpstr>Capex.</vt:lpstr>
      <vt:lpstr>Pitch</vt:lpstr>
      <vt:lpstr>SS</vt:lpstr>
      <vt:lpstr>LATAM ASK</vt:lpstr>
      <vt:lpstr>Forecast Drivers (2)</vt:lpstr>
      <vt:lpstr>Margin</vt:lpstr>
      <vt:lpstr>Pro_Forma BS (2)</vt:lpstr>
      <vt:lpstr>Multiples (1)</vt:lpstr>
      <vt:lpstr>Multiples (2) FY0 data</vt:lpstr>
      <vt:lpstr>Multiples (3) LTM &amp; NTM Data</vt:lpstr>
      <vt:lpstr>Multiples (4) Graphs</vt:lpstr>
      <vt:lpstr>Multiples Reg (1)</vt:lpstr>
      <vt:lpstr>Multiples Reg (2)</vt:lpstr>
      <vt:lpstr>Multiples Reg (3)</vt:lpstr>
      <vt:lpstr>Market shares</vt:lpstr>
      <vt:lpstr>EVB</vt: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FILIPPO FELICE BOGGETTI</cp:lastModifiedBy>
  <cp:revision/>
  <dcterms:created xsi:type="dcterms:W3CDTF">2022-11-14T13:48:41Z</dcterms:created>
  <dcterms:modified xsi:type="dcterms:W3CDTF">2022-12-07T23:41:39Z</dcterms:modified>
  <cp:category/>
  <cp:contentStatus/>
</cp:coreProperties>
</file>